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na.mithans\Desktop\DOKUMENTI_ZA_PAGE\cnvos\"/>
    </mc:Choice>
  </mc:AlternateContent>
  <xr:revisionPtr revIDLastSave="0" documentId="8_{6C7C0E17-BCD3-4202-B3C2-EF89B6234C72}" xr6:coauthVersionLast="47" xr6:coauthVersionMax="47" xr10:uidLastSave="{00000000-0000-0000-0000-000000000000}"/>
  <workbookProtection workbookAlgorithmName="SHA-512" workbookHashValue="j+dmJ7MutBpT1uZZ7GoPQsbhLdJnSp5Q2jYEbE+8vpZlVUIvoO2dfnnLhkfuUTgh1QWjqOwJZo0DpwYElSnPLw==" workbookSaltValue="BxQRi4kJRS/P9Fx5kyMWjQ==" workbookSpinCount="100000" lockStructure="1"/>
  <bookViews>
    <workbookView xWindow="28680" yWindow="-120" windowWidth="29040" windowHeight="15840" xr2:uid="{ED4CD4D3-E3E8-4035-BF29-E58B933A8B49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" l="1"/>
  <c r="J8" i="1"/>
  <c r="K8" i="1"/>
  <c r="L8" i="1"/>
  <c r="M8" i="1"/>
  <c r="N8" i="1"/>
  <c r="H8" i="1"/>
  <c r="B2" i="2"/>
  <c r="H11" i="1"/>
  <c r="H6" i="2"/>
  <c r="I6" i="2"/>
  <c r="J6" i="2"/>
  <c r="K6" i="2"/>
  <c r="L6" i="2"/>
  <c r="M6" i="2"/>
  <c r="G6" i="2"/>
  <c r="H5" i="2"/>
  <c r="I5" i="2"/>
  <c r="J5" i="2"/>
  <c r="K5" i="2"/>
  <c r="L5" i="2"/>
  <c r="M5" i="2"/>
  <c r="G5" i="2"/>
  <c r="H4" i="2"/>
  <c r="I4" i="2"/>
  <c r="J4" i="2"/>
  <c r="K4" i="2"/>
  <c r="L4" i="2"/>
  <c r="M4" i="2"/>
  <c r="G4" i="2"/>
  <c r="H3" i="2"/>
  <c r="I3" i="2"/>
  <c r="J3" i="2"/>
  <c r="K3" i="2"/>
  <c r="L3" i="2"/>
  <c r="M3" i="2"/>
  <c r="G3" i="2"/>
  <c r="C2" i="2"/>
  <c r="D2" i="2"/>
  <c r="E2" i="2"/>
  <c r="F2" i="2"/>
  <c r="G2" i="2"/>
  <c r="H2" i="2"/>
  <c r="I2" i="2"/>
  <c r="J2" i="2"/>
  <c r="K2" i="2"/>
  <c r="L2" i="2"/>
  <c r="M2" i="2"/>
  <c r="O12" i="1" l="1"/>
  <c r="Q10" i="1"/>
  <c r="X10" i="1"/>
  <c r="W10" i="1"/>
  <c r="W12" i="1" s="1"/>
  <c r="V10" i="1"/>
  <c r="T10" i="1"/>
  <c r="T16" i="1" s="1"/>
  <c r="S10" i="1"/>
  <c r="S16" i="1" s="1"/>
  <c r="Q17" i="1"/>
  <c r="Q11" i="1"/>
  <c r="L11" i="1" s="1"/>
  <c r="I11" i="1"/>
  <c r="J11" i="1"/>
  <c r="O3" i="1"/>
  <c r="Q15" i="1" l="1"/>
  <c r="J13" i="1"/>
  <c r="J14" i="1" s="1"/>
  <c r="H13" i="1"/>
  <c r="H14" i="1" s="1"/>
  <c r="S12" i="1"/>
  <c r="Q12" i="1"/>
  <c r="T12" i="1" s="1"/>
  <c r="Q14" i="1"/>
  <c r="K10" i="1"/>
  <c r="K11" i="1"/>
  <c r="N11" i="1"/>
  <c r="M11" i="1"/>
  <c r="I13" i="1"/>
  <c r="I14" i="1" s="1"/>
  <c r="L13" i="1"/>
  <c r="L14" i="1" s="1"/>
  <c r="H15" i="1" l="1"/>
  <c r="H17" i="1" s="1"/>
  <c r="I15" i="1"/>
  <c r="J15" i="1"/>
  <c r="J17" i="1"/>
  <c r="I17" i="1"/>
  <c r="L15" i="1"/>
  <c r="L17" i="1" s="1"/>
  <c r="S17" i="1"/>
  <c r="H16" i="1" s="1"/>
  <c r="N13" i="1"/>
  <c r="K13" i="1"/>
  <c r="M13" i="1"/>
  <c r="M14" i="1" l="1"/>
  <c r="M15" i="1" s="1"/>
  <c r="M17" i="1" s="1"/>
  <c r="N14" i="1"/>
  <c r="N15" i="1" s="1"/>
  <c r="N17" i="1" s="1"/>
  <c r="K14" i="1"/>
  <c r="K15" i="1" s="1"/>
  <c r="K17" i="1" s="1"/>
  <c r="O13" i="1"/>
  <c r="H18" i="1" l="1"/>
  <c r="L18" i="1"/>
  <c r="O15" i="1"/>
  <c r="O17" i="1"/>
  <c r="H19" i="1" l="1"/>
  <c r="L19" i="1"/>
  <c r="O1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Q10" authorId="0" shapeId="0" xr:uid="{028B1B39-F37F-4B7A-9E48-871CA666B754}">
      <text>
        <r>
          <rPr>
            <b/>
            <sz val="9"/>
            <color indexed="81"/>
            <rFont val="Segoe UI"/>
            <family val="2"/>
            <charset val="238"/>
          </rPr>
          <t>Admin:</t>
        </r>
        <r>
          <rPr>
            <sz val="9"/>
            <color indexed="81"/>
            <rFont val="Segoe UI"/>
            <family val="2"/>
            <charset val="238"/>
          </rPr>
          <t xml:space="preserve">
št. tipa pomoči</t>
        </r>
      </text>
    </comment>
    <comment ref="S10" authorId="0" shapeId="0" xr:uid="{F7845CE5-EC45-42D7-B0F1-7EB5520CFA23}">
      <text>
        <r>
          <rPr>
            <b/>
            <sz val="9"/>
            <color indexed="81"/>
            <rFont val="Segoe UI"/>
            <family val="2"/>
            <charset val="238"/>
          </rPr>
          <t>Admin:</t>
        </r>
        <r>
          <rPr>
            <sz val="9"/>
            <color indexed="81"/>
            <rFont val="Segoe UI"/>
            <family val="2"/>
            <charset val="238"/>
          </rPr>
          <t xml:space="preserve">
Omejitev VP na MAX vred.
</t>
        </r>
      </text>
    </comment>
    <comment ref="T10" authorId="0" shapeId="0" xr:uid="{54D25595-02FC-4311-AC72-C26635CB8DDD}">
      <text>
        <r>
          <rPr>
            <b/>
            <sz val="9"/>
            <color indexed="81"/>
            <rFont val="Segoe UI"/>
            <family val="2"/>
            <charset val="238"/>
          </rPr>
          <t>Admin:</t>
        </r>
        <r>
          <rPr>
            <sz val="9"/>
            <color indexed="81"/>
            <rFont val="Segoe UI"/>
            <family val="2"/>
            <charset val="238"/>
          </rPr>
          <t xml:space="preserve">
Omejitev VP na SKD glede na tip (*)</t>
        </r>
      </text>
    </comment>
    <comment ref="V10" authorId="0" shapeId="0" xr:uid="{9DE90078-269C-4B1C-AB78-B60FC1D48717}">
      <text>
        <r>
          <rPr>
            <b/>
            <sz val="9"/>
            <color indexed="81"/>
            <rFont val="Segoe UI"/>
            <family val="2"/>
            <charset val="238"/>
          </rPr>
          <t>Admin:</t>
        </r>
        <r>
          <rPr>
            <sz val="9"/>
            <color indexed="81"/>
            <rFont val="Segoe UI"/>
            <family val="2"/>
            <charset val="238"/>
          </rPr>
          <t xml:space="preserve">
Omejitev na minimalno  izgubo
(min. prag [%])
</t>
        </r>
      </text>
    </comment>
    <comment ref="W10" authorId="0" shapeId="0" xr:uid="{54E985ED-B449-4D5F-919B-1DD47F748F31}">
      <text>
        <r>
          <rPr>
            <b/>
            <sz val="9"/>
            <color indexed="81"/>
            <rFont val="Segoe UI"/>
            <family val="2"/>
            <charset val="238"/>
          </rPr>
          <t>Admin:</t>
        </r>
        <r>
          <rPr>
            <sz val="9"/>
            <color indexed="81"/>
            <rFont val="Segoe UI"/>
            <family val="2"/>
            <charset val="238"/>
          </rPr>
          <t xml:space="preserve">
Omejitev VP na izgubo</t>
        </r>
      </text>
    </comment>
    <comment ref="X10" authorId="0" shapeId="0" xr:uid="{3FAB0445-DC91-47E3-81C7-29E2AE7F2A7F}">
      <text>
        <r>
          <rPr>
            <b/>
            <sz val="9"/>
            <color indexed="81"/>
            <rFont val="Segoe UI"/>
            <family val="2"/>
            <charset val="238"/>
          </rPr>
          <t>Admin:</t>
        </r>
        <r>
          <rPr>
            <sz val="9"/>
            <color indexed="81"/>
            <rFont val="Segoe UI"/>
            <family val="2"/>
            <charset val="238"/>
          </rPr>
          <t xml:space="preserve">
Omejitev na skupno pomoč upravičenca, skupaj z drugimi pomočmi, prejetimi v skladu z 2.1. oddelkom in 53. točko 2.4. oddelka začasnega okvira ne sme preseči </t>
        </r>
      </text>
    </comment>
    <comment ref="Q11" authorId="0" shapeId="0" xr:uid="{5861E2AE-4176-4EB4-B7A1-C1A02BCDE4AA}">
      <text>
        <r>
          <rPr>
            <b/>
            <sz val="9"/>
            <color indexed="81"/>
            <rFont val="Segoe UI"/>
            <family val="2"/>
            <charset val="238"/>
          </rPr>
          <t>Admin:</t>
        </r>
        <r>
          <rPr>
            <sz val="9"/>
            <color indexed="81"/>
            <rFont val="Segoe UI"/>
            <family val="2"/>
            <charset val="238"/>
          </rPr>
          <t xml:space="preserve">
Omejena poraba gl. na 2021</t>
        </r>
      </text>
    </comment>
    <comment ref="Q12" authorId="0" shapeId="0" xr:uid="{DC6CBB1E-6F21-46D3-8143-0697E73073AE}">
      <text>
        <r>
          <rPr>
            <b/>
            <sz val="9"/>
            <color indexed="81"/>
            <rFont val="Segoe UI"/>
            <family val="2"/>
            <charset val="238"/>
          </rPr>
          <t>Admin:</t>
        </r>
        <r>
          <rPr>
            <sz val="9"/>
            <color indexed="81"/>
            <rFont val="Segoe UI"/>
            <family val="2"/>
            <charset val="238"/>
          </rPr>
          <t xml:space="preserve">
Se upošteva ali ne?
Glede na Omejitev VP na MAX vred *</t>
        </r>
      </text>
    </comment>
    <comment ref="Q14" authorId="0" shapeId="0" xr:uid="{A601B0AE-02E8-4DD6-8CD9-DE3370EF036C}">
      <text>
        <r>
          <rPr>
            <b/>
            <sz val="9"/>
            <color indexed="81"/>
            <rFont val="Segoe UI"/>
            <family val="2"/>
            <charset val="238"/>
          </rPr>
          <t>Admin:</t>
        </r>
        <r>
          <rPr>
            <sz val="9"/>
            <color indexed="81"/>
            <rFont val="Segoe UI"/>
            <family val="2"/>
            <charset val="238"/>
          </rPr>
          <t xml:space="preserve">
Se upošteva ali ne?
Glede na Omejitev VP na MAX vred *</t>
        </r>
      </text>
    </comment>
    <comment ref="Q15" authorId="0" shapeId="0" xr:uid="{B6374209-2CE6-493F-9F4F-5B3FECD675DE}">
      <text>
        <r>
          <rPr>
            <b/>
            <sz val="9"/>
            <color indexed="81"/>
            <rFont val="Segoe UI"/>
            <family val="2"/>
            <charset val="238"/>
          </rPr>
          <t>Admin:</t>
        </r>
        <r>
          <rPr>
            <sz val="9"/>
            <color indexed="81"/>
            <rFont val="Segoe UI"/>
            <family val="2"/>
            <charset val="238"/>
          </rPr>
          <t xml:space="preserve">
Se upošteva ali ne?
Glede na Omejitev VP na MAX vred *</t>
        </r>
      </text>
    </comment>
    <comment ref="S16" authorId="0" shapeId="0" xr:uid="{73289815-B928-428A-9F9F-D6D31FE66875}">
      <text>
        <r>
          <rPr>
            <b/>
            <sz val="9"/>
            <color indexed="81"/>
            <rFont val="Segoe UI"/>
            <family val="2"/>
            <charset val="238"/>
          </rPr>
          <t>Admin:</t>
        </r>
        <r>
          <rPr>
            <sz val="9"/>
            <color indexed="81"/>
            <rFont val="Segoe UI"/>
            <family val="2"/>
            <charset val="238"/>
          </rPr>
          <t xml:space="preserve">
Omejitev VP na SKD</t>
        </r>
      </text>
    </comment>
    <comment ref="T16" authorId="0" shapeId="0" xr:uid="{2C909B4D-4143-49D0-89FC-5015BE368C71}">
      <text>
        <r>
          <rPr>
            <b/>
            <sz val="9"/>
            <color indexed="81"/>
            <rFont val="Segoe UI"/>
            <family val="2"/>
            <charset val="238"/>
          </rPr>
          <t>Admin:</t>
        </r>
        <r>
          <rPr>
            <sz val="9"/>
            <color indexed="81"/>
            <rFont val="Segoe UI"/>
            <family val="2"/>
            <charset val="238"/>
          </rPr>
          <t xml:space="preserve">
Se upošteva ali ne?
Glede na Omejitev VP na MAX vred *</t>
        </r>
      </text>
    </comment>
    <comment ref="Q17" authorId="0" shapeId="0" xr:uid="{B37650F1-AA49-45D6-93C2-CDA2B0684FF4}">
      <text>
        <r>
          <rPr>
            <b/>
            <sz val="9"/>
            <color indexed="81"/>
            <rFont val="Segoe UI"/>
            <family val="2"/>
            <charset val="238"/>
          </rPr>
          <t>Admin:</t>
        </r>
        <r>
          <rPr>
            <sz val="9"/>
            <color indexed="81"/>
            <rFont val="Segoe UI"/>
            <family val="2"/>
            <charset val="238"/>
          </rPr>
          <t xml:space="preserve">
Višina pomoči (VP) 
⯈ % US</t>
        </r>
      </text>
    </comment>
    <comment ref="S17" authorId="0" shapeId="0" xr:uid="{9DE715BA-7BC5-445D-830A-80756C6CAA40}">
      <text>
        <r>
          <rPr>
            <b/>
            <sz val="9"/>
            <color indexed="81"/>
            <rFont val="Segoe UI"/>
            <family val="2"/>
            <charset val="238"/>
          </rPr>
          <t>Admin:</t>
        </r>
        <r>
          <rPr>
            <sz val="9"/>
            <color indexed="81"/>
            <rFont val="Segoe UI"/>
            <family val="2"/>
            <charset val="238"/>
          </rPr>
          <t xml:space="preserve">
Skupna omejitev VP na MAX vred.</t>
        </r>
      </text>
    </comment>
  </commentList>
</comments>
</file>

<file path=xl/sharedStrings.xml><?xml version="1.0" encoding="utf-8"?>
<sst xmlns="http://schemas.openxmlformats.org/spreadsheetml/2006/main" count="85" uniqueCount="58">
  <si>
    <t>Jan</t>
  </si>
  <si>
    <t>Feb</t>
  </si>
  <si>
    <t>Mar</t>
  </si>
  <si>
    <t>Apr</t>
  </si>
  <si>
    <t>Maj</t>
  </si>
  <si>
    <t>Jun</t>
  </si>
  <si>
    <t>Jul</t>
  </si>
  <si>
    <t>Avg</t>
  </si>
  <si>
    <t>Sept</t>
  </si>
  <si>
    <t>Okt</t>
  </si>
  <si>
    <t>Nov</t>
  </si>
  <si>
    <t>Dec</t>
  </si>
  <si>
    <t>Leto 2021</t>
  </si>
  <si>
    <t>Povprečna cena za leto 2021</t>
  </si>
  <si>
    <r>
      <t xml:space="preserve">Leto 2022 – </t>
    </r>
    <r>
      <rPr>
        <b/>
        <sz val="10"/>
        <color rgb="FF000000"/>
        <rFont val="Calibri"/>
        <family val="2"/>
        <charset val="238"/>
        <scheme val="minor"/>
      </rPr>
      <t>upravičeno obdobje 1.6. - 31.12.2022</t>
    </r>
  </si>
  <si>
    <t>⯈ Velja samo za energetsko inzenzivna podjetja!
(za enostavno in posebno pomoč se to ne vnaša)</t>
  </si>
  <si>
    <t>Upravičen strošek
[EUR]</t>
  </si>
  <si>
    <r>
      <t xml:space="preserve">⯈ = (p(t) – p(ref) x 2) 
⯈ = </t>
    </r>
    <r>
      <rPr>
        <u/>
        <sz val="10"/>
        <color theme="1"/>
        <rFont val="Calibri"/>
        <family val="2"/>
        <charset val="238"/>
        <scheme val="minor"/>
      </rPr>
      <t>cena el. En. 2022</t>
    </r>
    <r>
      <rPr>
        <sz val="10"/>
        <color theme="1"/>
        <rFont val="Calibri"/>
        <family val="2"/>
        <charset val="238"/>
        <scheme val="minor"/>
      </rPr>
      <t xml:space="preserve"> - (2 x </t>
    </r>
    <r>
      <rPr>
        <u/>
        <sz val="10"/>
        <color theme="1"/>
        <rFont val="Calibri"/>
        <family val="2"/>
        <charset val="238"/>
        <scheme val="minor"/>
      </rPr>
      <t>povp. cena za 2021</t>
    </r>
    <r>
      <rPr>
        <sz val="10"/>
        <color theme="1"/>
        <rFont val="Calibri"/>
        <family val="2"/>
        <charset val="238"/>
        <scheme val="minor"/>
      </rPr>
      <t>)</t>
    </r>
  </si>
  <si>
    <r>
      <t xml:space="preserve">Povečanje cene
2022⯈2021
</t>
    </r>
    <r>
      <rPr>
        <sz val="10"/>
        <color rgb="FF000000"/>
        <rFont val="Calibri"/>
        <family val="2"/>
        <charset val="238"/>
        <scheme val="minor"/>
      </rPr>
      <t>[EUR/MWh]</t>
    </r>
  </si>
  <si>
    <t>Izberite vrsto pomoči:</t>
  </si>
  <si>
    <t>Enostavna pomoč</t>
  </si>
  <si>
    <t>Posebna pomoč</t>
  </si>
  <si>
    <t>Pomoč za energetsko intenzivna podjetja</t>
  </si>
  <si>
    <t>Omejena poraba gl. na 2021</t>
  </si>
  <si>
    <t>⯈ čl. 5 tč. 4 (od sep. Omejeno na 70% 2021 za pos. p.)</t>
  </si>
  <si>
    <t>⯈ Višina pomoči je dodatno omejena glede na tip pomoči in ostalo (glej zakon)</t>
  </si>
  <si>
    <t>Omejitev VP na MAX vred.</t>
  </si>
  <si>
    <t>Omejitev VP na SKD</t>
  </si>
  <si>
    <t>Tip pomoči</t>
  </si>
  <si>
    <t>Vsi ostali SKD</t>
  </si>
  <si>
    <t>*</t>
  </si>
  <si>
    <t>Pomoč za NACE energetsko intenzivna podjetja</t>
  </si>
  <si>
    <t>Omejitev na minimalno  izgubo
(min. prag [%])</t>
  </si>
  <si>
    <t>Omejitev VP na izgubo</t>
  </si>
  <si>
    <t xml:space="preserve">Omejitev na skupno pomoč upravičenca, skupaj z drugimi pomočmi, prejetimi v skladu z 2.1. oddelkom in 53. točko 2.4. oddelka začasnega okvira ne sme preseči </t>
  </si>
  <si>
    <t>Upoštevan upravičen strošek
[EUR]</t>
  </si>
  <si>
    <t>Upravičen strošek izražen v % izgube iz poslovanja</t>
  </si>
  <si>
    <r>
      <t xml:space="preserve">⯈ = </t>
    </r>
    <r>
      <rPr>
        <u/>
        <sz val="10"/>
        <color theme="1"/>
        <rFont val="Calibri"/>
        <family val="2"/>
        <charset val="238"/>
        <scheme val="minor"/>
      </rPr>
      <t>povečanje cene 2022⯈2021</t>
    </r>
    <r>
      <rPr>
        <sz val="10"/>
        <color theme="1"/>
        <rFont val="Calibri"/>
        <family val="2"/>
        <charset val="238"/>
        <scheme val="minor"/>
      </rPr>
      <t xml:space="preserve"> * </t>
    </r>
    <r>
      <rPr>
        <u/>
        <sz val="10"/>
        <color theme="1"/>
        <rFont val="Calibri"/>
        <family val="2"/>
        <charset val="238"/>
        <scheme val="minor"/>
      </rPr>
      <t xml:space="preserve">poraba el. En. 2022
</t>
    </r>
    <r>
      <rPr>
        <sz val="10"/>
        <color theme="1"/>
        <rFont val="Calibri"/>
        <family val="2"/>
        <charset val="238"/>
        <scheme val="minor"/>
      </rPr>
      <t xml:space="preserve">⯈ </t>
    </r>
    <r>
      <rPr>
        <u/>
        <sz val="10"/>
        <color theme="1"/>
        <rFont val="Calibri"/>
        <family val="2"/>
        <charset val="238"/>
        <scheme val="minor"/>
      </rPr>
      <t>velja omejitev za posebno pomoč</t>
    </r>
  </si>
  <si>
    <t>št. tipa pomoči</t>
  </si>
  <si>
    <t>Okvirna višina pomoči
[EUR]</t>
  </si>
  <si>
    <t>Naziv</t>
  </si>
  <si>
    <t>Poraba energije 
[MWh]</t>
  </si>
  <si>
    <t>Cena energije
[EUR/MWh]</t>
  </si>
  <si>
    <t>Upoštevana poraba  energije
[MWh]</t>
  </si>
  <si>
    <t>Poraba energije
[MWh]</t>
  </si>
  <si>
    <t>Izguba iz poslovanja
[EUR]</t>
  </si>
  <si>
    <t>Cena2021</t>
  </si>
  <si>
    <t>Poraba2021</t>
  </si>
  <si>
    <t>Cena2022</t>
  </si>
  <si>
    <t>Poraba2022</t>
  </si>
  <si>
    <t>Izguba2022</t>
  </si>
  <si>
    <t>⯈ Za energetsko inzenzivna podjetja, če je  US manj kot 50% izgube je US=0</t>
  </si>
  <si>
    <t>SKD A01</t>
  </si>
  <si>
    <t>SKD A03</t>
  </si>
  <si>
    <t>Dejavnost</t>
  </si>
  <si>
    <t>* ⯈ SKD - dejavnost</t>
  </si>
  <si>
    <t>Višina pomoči gl. na US)</t>
  </si>
  <si>
    <t xml:space="preserve">⯈ Velja samo za energetsko inzenzivna podjetja!
(za enostavno in posebno pomoč ni relevantno)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</si>
</sst>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0"/>
    <numFmt numFmtId="165" formatCode="_-\ #,##0.00\ &quot;€&quot;_-;\-\ #,##0.00\ &quot;€&quot;_-;_-\ &quot;-&quot;??\ &quot;€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 val="doubleAccounting"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u/>
      <sz val="1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  <fill>
      <patternFill patternType="lightUp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DashDot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4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2" fontId="4" fillId="7" borderId="4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9" fontId="2" fillId="0" borderId="6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4" fillId="7" borderId="2" xfId="0" applyNumberFormat="1" applyFont="1" applyFill="1" applyBorder="1" applyAlignment="1">
      <alignment horizontal="center" vertical="center" wrapText="1"/>
    </xf>
    <xf numFmtId="4" fontId="4" fillId="8" borderId="1" xfId="0" applyNumberFormat="1" applyFont="1" applyFill="1" applyBorder="1" applyAlignment="1">
      <alignment horizontal="center" vertical="center" wrapText="1"/>
    </xf>
    <xf numFmtId="4" fontId="7" fillId="8" borderId="1" xfId="0" applyNumberFormat="1" applyFont="1" applyFill="1" applyBorder="1" applyAlignment="1">
      <alignment horizontal="center" vertical="center" wrapText="1"/>
    </xf>
    <xf numFmtId="9" fontId="2" fillId="7" borderId="6" xfId="2" applyFont="1" applyFill="1" applyBorder="1" applyAlignment="1">
      <alignment horizontal="center" vertical="center"/>
    </xf>
    <xf numFmtId="164" fontId="4" fillId="7" borderId="5" xfId="0" applyNumberFormat="1" applyFont="1" applyFill="1" applyBorder="1" applyAlignment="1">
      <alignment horizontal="center" vertical="center" wrapText="1"/>
    </xf>
    <xf numFmtId="44" fontId="2" fillId="0" borderId="6" xfId="1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 wrapText="1"/>
    </xf>
    <xf numFmtId="9" fontId="2" fillId="0" borderId="7" xfId="2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4" fontId="2" fillId="7" borderId="6" xfId="1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 wrapText="1"/>
    </xf>
    <xf numFmtId="4" fontId="8" fillId="7" borderId="3" xfId="0" applyNumberFormat="1" applyFont="1" applyFill="1" applyBorder="1" applyAlignment="1">
      <alignment horizontal="center" vertical="center" wrapText="1"/>
    </xf>
    <xf numFmtId="4" fontId="8" fillId="7" borderId="4" xfId="0" applyNumberFormat="1" applyFont="1" applyFill="1" applyBorder="1" applyAlignment="1">
      <alignment horizontal="center" vertical="center" wrapText="1"/>
    </xf>
    <xf numFmtId="0" fontId="2" fillId="7" borderId="6" xfId="1" applyNumberFormat="1" applyFont="1" applyFill="1" applyBorder="1" applyAlignment="1">
      <alignment horizontal="center" vertical="center"/>
    </xf>
    <xf numFmtId="49" fontId="2" fillId="7" borderId="6" xfId="1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10" fontId="8" fillId="7" borderId="3" xfId="2" applyNumberFormat="1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left" vertical="center" wrapText="1"/>
    </xf>
    <xf numFmtId="0" fontId="2" fillId="7" borderId="6" xfId="2" applyNumberFormat="1" applyFont="1" applyFill="1" applyBorder="1" applyAlignment="1">
      <alignment horizontal="center" vertical="center"/>
    </xf>
    <xf numFmtId="164" fontId="4" fillId="8" borderId="1" xfId="0" applyNumberFormat="1" applyFont="1" applyFill="1" applyBorder="1" applyAlignment="1">
      <alignment horizontal="center" vertical="center" wrapText="1"/>
    </xf>
    <xf numFmtId="164" fontId="4" fillId="8" borderId="20" xfId="0" applyNumberFormat="1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6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6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1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1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9" borderId="0" xfId="0" applyFont="1" applyFill="1" applyAlignment="1">
      <alignment horizontal="left" wrapText="1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9" fontId="2" fillId="8" borderId="18" xfId="2" applyFont="1" applyFill="1" applyBorder="1" applyAlignment="1">
      <alignment horizontal="center" vertical="center" wrapText="1"/>
    </xf>
    <xf numFmtId="9" fontId="2" fillId="8" borderId="19" xfId="2" applyFont="1" applyFill="1" applyBorder="1" applyAlignment="1">
      <alignment horizontal="center" vertical="center" wrapText="1"/>
    </xf>
    <xf numFmtId="9" fontId="2" fillId="8" borderId="10" xfId="2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4" fontId="2" fillId="0" borderId="7" xfId="1" applyFont="1" applyBorder="1" applyAlignment="1">
      <alignment horizontal="center" vertical="center"/>
    </xf>
    <xf numFmtId="44" fontId="2" fillId="0" borderId="11" xfId="1" applyFont="1" applyBorder="1" applyAlignment="1">
      <alignment horizontal="center" vertical="center"/>
    </xf>
    <xf numFmtId="9" fontId="2" fillId="0" borderId="7" xfId="2" applyFont="1" applyBorder="1" applyAlignment="1">
      <alignment horizontal="center" vertical="center"/>
    </xf>
    <xf numFmtId="9" fontId="2" fillId="0" borderId="12" xfId="2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0" fontId="2" fillId="7" borderId="17" xfId="2" applyNumberFormat="1" applyFont="1" applyFill="1" applyBorder="1" applyAlignment="1">
      <alignment horizontal="center" vertical="center" wrapText="1"/>
    </xf>
    <xf numFmtId="10" fontId="2" fillId="7" borderId="5" xfId="2" applyNumberFormat="1" applyFont="1" applyFill="1" applyBorder="1" applyAlignment="1">
      <alignment horizontal="center" vertical="center" wrapText="1"/>
    </xf>
    <xf numFmtId="10" fontId="2" fillId="7" borderId="2" xfId="2" applyNumberFormat="1" applyFont="1" applyFill="1" applyBorder="1" applyAlignment="1">
      <alignment horizontal="center" vertical="center" wrapText="1"/>
    </xf>
    <xf numFmtId="165" fontId="11" fillId="7" borderId="17" xfId="1" applyNumberFormat="1" applyFont="1" applyFill="1" applyBorder="1" applyAlignment="1">
      <alignment horizontal="center" vertical="center" wrapText="1"/>
    </xf>
    <xf numFmtId="165" fontId="11" fillId="7" borderId="5" xfId="1" applyNumberFormat="1" applyFont="1" applyFill="1" applyBorder="1" applyAlignment="1">
      <alignment horizontal="center" vertical="center" wrapText="1"/>
    </xf>
    <xf numFmtId="165" fontId="11" fillId="7" borderId="2" xfId="1" applyNumberFormat="1" applyFont="1" applyFill="1" applyBorder="1" applyAlignment="1">
      <alignment horizontal="center" vertical="center" wrapText="1"/>
    </xf>
    <xf numFmtId="44" fontId="2" fillId="0" borderId="6" xfId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3">
    <cellStyle name="Navadno" xfId="0" builtinId="0"/>
    <cellStyle name="Odstotek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C5310-E9F7-49FF-9EF1-8F2DF18E8AEC}">
  <dimension ref="B1:X30"/>
  <sheetViews>
    <sheetView tabSelected="1" zoomScaleNormal="100" workbookViewId="0">
      <selection activeCell="H12" sqref="H12"/>
    </sheetView>
  </sheetViews>
  <sheetFormatPr defaultRowHeight="39" customHeight="1" x14ac:dyDescent="0.25"/>
  <cols>
    <col min="1" max="1" width="9.140625" style="2"/>
    <col min="2" max="2" width="21" style="2" customWidth="1"/>
    <col min="3" max="7" width="9.140625" style="2"/>
    <col min="8" max="15" width="12.5703125" style="2" customWidth="1"/>
    <col min="16" max="16" width="44.5703125" style="2" bestFit="1" customWidth="1"/>
    <col min="17" max="17" width="9.140625" style="2"/>
    <col min="18" max="18" width="2.140625" style="2" customWidth="1"/>
    <col min="19" max="19" width="14" style="2" bestFit="1" customWidth="1"/>
    <col min="20" max="20" width="6.140625" style="2" customWidth="1"/>
    <col min="21" max="21" width="2.140625" style="2" customWidth="1"/>
    <col min="22" max="23" width="9.140625" style="2"/>
    <col min="24" max="24" width="15" style="2" bestFit="1" customWidth="1"/>
    <col min="25" max="16384" width="9.140625" style="2"/>
  </cols>
  <sheetData>
    <row r="1" spans="2:24" ht="6.75" customHeight="1" thickBot="1" x14ac:dyDescent="0.3"/>
    <row r="2" spans="2:24" ht="39" customHeight="1" thickBot="1" x14ac:dyDescent="0.3">
      <c r="B2" s="7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1" t="s">
        <v>13</v>
      </c>
    </row>
    <row r="3" spans="2:24" ht="39" customHeight="1" thickBot="1" x14ac:dyDescent="0.3">
      <c r="B3" s="4" t="s">
        <v>42</v>
      </c>
      <c r="C3" s="43">
        <v>50</v>
      </c>
      <c r="D3" s="43">
        <v>50</v>
      </c>
      <c r="E3" s="43">
        <v>55</v>
      </c>
      <c r="F3" s="43">
        <v>50</v>
      </c>
      <c r="G3" s="43">
        <v>52</v>
      </c>
      <c r="H3" s="43">
        <v>50</v>
      </c>
      <c r="I3" s="43">
        <v>100</v>
      </c>
      <c r="J3" s="43">
        <v>100</v>
      </c>
      <c r="K3" s="43">
        <v>100</v>
      </c>
      <c r="L3" s="43">
        <v>150</v>
      </c>
      <c r="M3" s="43">
        <v>230</v>
      </c>
      <c r="N3" s="43">
        <v>230</v>
      </c>
      <c r="O3" s="12">
        <f>SUM(C3:N3)/12</f>
        <v>101.41666666666667</v>
      </c>
    </row>
    <row r="4" spans="2:24" ht="39" customHeight="1" thickBot="1" x14ac:dyDescent="0.3">
      <c r="B4" s="4" t="s">
        <v>41</v>
      </c>
      <c r="C4" s="5"/>
      <c r="D4" s="5"/>
      <c r="E4" s="5"/>
      <c r="F4" s="5"/>
      <c r="G4" s="5"/>
      <c r="H4" s="44">
        <v>1200</v>
      </c>
      <c r="I4" s="44">
        <v>1200</v>
      </c>
      <c r="J4" s="45">
        <v>800</v>
      </c>
      <c r="K4" s="46">
        <v>1000</v>
      </c>
      <c r="L4" s="47">
        <v>1100</v>
      </c>
      <c r="M4" s="47">
        <v>1000</v>
      </c>
      <c r="N4" s="47">
        <v>900</v>
      </c>
    </row>
    <row r="5" spans="2:24" ht="6" customHeight="1" thickBot="1" x14ac:dyDescent="0.3"/>
    <row r="6" spans="2:24" ht="39" customHeight="1" thickBot="1" x14ac:dyDescent="0.3">
      <c r="B6" s="7" t="s">
        <v>14</v>
      </c>
      <c r="C6" s="3" t="s">
        <v>0</v>
      </c>
      <c r="D6" s="6" t="s">
        <v>1</v>
      </c>
      <c r="E6" s="6" t="s">
        <v>2</v>
      </c>
      <c r="F6" s="6" t="s">
        <v>3</v>
      </c>
      <c r="G6" s="6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</row>
    <row r="7" spans="2:24" ht="39" customHeight="1" thickBot="1" x14ac:dyDescent="0.3">
      <c r="B7" s="4" t="s">
        <v>42</v>
      </c>
      <c r="C7" s="5"/>
      <c r="D7" s="5"/>
      <c r="E7" s="5"/>
      <c r="F7" s="5"/>
      <c r="G7" s="5"/>
      <c r="H7" s="43">
        <v>230</v>
      </c>
      <c r="I7" s="43">
        <v>330</v>
      </c>
      <c r="J7" s="43">
        <v>430</v>
      </c>
      <c r="K7" s="43">
        <v>430</v>
      </c>
      <c r="L7" s="43">
        <v>430</v>
      </c>
      <c r="M7" s="43">
        <v>430</v>
      </c>
      <c r="N7" s="43">
        <v>430</v>
      </c>
    </row>
    <row r="8" spans="2:24" ht="39" customHeight="1" thickBot="1" x14ac:dyDescent="0.3">
      <c r="B8" s="11" t="s">
        <v>18</v>
      </c>
      <c r="C8" s="5"/>
      <c r="D8" s="5"/>
      <c r="E8" s="5"/>
      <c r="F8" s="5"/>
      <c r="G8" s="5"/>
      <c r="H8" s="12">
        <f>MAX(ROUND(H7-(2*ROUND($O$3,2)),2),0)</f>
        <v>27.16</v>
      </c>
      <c r="I8" s="12">
        <f t="shared" ref="I8:N8" si="0">MAX(ROUND(I7-(2*ROUND($O$3,2)),2),0)</f>
        <v>127.16</v>
      </c>
      <c r="J8" s="12">
        <f t="shared" si="0"/>
        <v>227.16</v>
      </c>
      <c r="K8" s="12">
        <f t="shared" si="0"/>
        <v>227.16</v>
      </c>
      <c r="L8" s="12">
        <f t="shared" si="0"/>
        <v>227.16</v>
      </c>
      <c r="M8" s="12">
        <f t="shared" si="0"/>
        <v>227.16</v>
      </c>
      <c r="N8" s="12">
        <f t="shared" si="0"/>
        <v>227.16</v>
      </c>
      <c r="P8" s="9" t="s">
        <v>17</v>
      </c>
    </row>
    <row r="9" spans="2:24" ht="39" customHeight="1" thickBot="1" x14ac:dyDescent="0.3">
      <c r="B9" s="18" t="s">
        <v>44</v>
      </c>
      <c r="C9" s="14"/>
      <c r="D9" s="14"/>
      <c r="E9" s="14"/>
      <c r="F9" s="14"/>
      <c r="G9" s="14"/>
      <c r="H9" s="48">
        <v>1200</v>
      </c>
      <c r="I9" s="49">
        <v>1200</v>
      </c>
      <c r="J9" s="49">
        <v>800</v>
      </c>
      <c r="K9" s="50">
        <v>1000</v>
      </c>
      <c r="L9" s="50">
        <v>1100</v>
      </c>
      <c r="M9" s="50">
        <v>1000</v>
      </c>
      <c r="N9" s="50">
        <v>900</v>
      </c>
    </row>
    <row r="10" spans="2:24" ht="39" customHeight="1" thickBot="1" x14ac:dyDescent="0.3">
      <c r="B10" s="2" t="s">
        <v>19</v>
      </c>
      <c r="C10" s="54" t="s">
        <v>20</v>
      </c>
      <c r="D10" s="54"/>
      <c r="E10" s="54"/>
      <c r="F10" s="54"/>
      <c r="G10" s="54"/>
      <c r="K10" s="57" t="str">
        <f>IF(Q11&lt;&gt;0,"Upošteva se maksimalno "&amp;Q11*100&amp;"% porabe za enak mesec
 iz leta 2021","Upošteva se poraba iz 2022 (celotna)")</f>
        <v>Upošteva se poraba iz 2022 (celotna)</v>
      </c>
      <c r="L10" s="58"/>
      <c r="M10" s="58"/>
      <c r="N10" s="59"/>
      <c r="Q10" s="38">
        <f>_xlfn.XLOOKUP(C10,B22:B25,E22:E25,"?")</f>
        <v>1</v>
      </c>
      <c r="S10" s="29">
        <f>_xlfn.XLOOKUP(C10,B22:B25,H22:H25,"?")</f>
        <v>500000</v>
      </c>
      <c r="T10" s="34" t="str">
        <f>_xlfn.XLOOKUP(C10,B22:B25,J22:J25,"?")</f>
        <v>*</v>
      </c>
      <c r="V10" s="22">
        <f>_xlfn.XLOOKUP(C10,B22:B25,L22:L25,"?")</f>
        <v>0</v>
      </c>
      <c r="W10" s="22">
        <f>_xlfn.XLOOKUP(C10,B22:B25,N22:N25,"?")</f>
        <v>0</v>
      </c>
      <c r="X10" s="29">
        <f>_xlfn.XLOOKUP(C10,B22:B25,P22:P25,"?")</f>
        <v>500000</v>
      </c>
    </row>
    <row r="11" spans="2:24" ht="39" customHeight="1" thickBot="1" x14ac:dyDescent="0.3">
      <c r="B11" s="13" t="s">
        <v>43</v>
      </c>
      <c r="C11" s="14"/>
      <c r="D11" s="14"/>
      <c r="E11" s="14"/>
      <c r="F11" s="14"/>
      <c r="G11" s="14"/>
      <c r="H11" s="19">
        <f t="shared" ref="H11:J11" si="1">H9</f>
        <v>1200</v>
      </c>
      <c r="I11" s="19">
        <f t="shared" si="1"/>
        <v>1200</v>
      </c>
      <c r="J11" s="23">
        <f t="shared" si="1"/>
        <v>800</v>
      </c>
      <c r="K11" s="39">
        <f>IF($Q$11&lt;&gt;0,MIN(K9,$Q$11*K4),K9)</f>
        <v>1000</v>
      </c>
      <c r="L11" s="40">
        <f>IF($Q$11&lt;&gt;0,MIN(L9,$Q$11*L4),L9)</f>
        <v>1100</v>
      </c>
      <c r="M11" s="40">
        <f>IF($Q$11&lt;&gt;0,MIN(M9,$Q$11*M4),M9)</f>
        <v>1000</v>
      </c>
      <c r="N11" s="40">
        <f>IF($Q$11&lt;&gt;0,MIN(N9,$Q$11*N4),N9)</f>
        <v>900</v>
      </c>
      <c r="P11" s="8" t="s">
        <v>24</v>
      </c>
      <c r="Q11" s="22">
        <f>_xlfn.XLOOKUP(C10,B22:B25,F22:F25,"?")</f>
        <v>0</v>
      </c>
    </row>
    <row r="12" spans="2:24" ht="39" customHeight="1" thickBot="1" x14ac:dyDescent="0.3">
      <c r="B12" s="4" t="s">
        <v>45</v>
      </c>
      <c r="C12" s="5"/>
      <c r="D12" s="5"/>
      <c r="E12" s="5"/>
      <c r="F12" s="5"/>
      <c r="G12" s="5"/>
      <c r="H12" s="51">
        <v>300000</v>
      </c>
      <c r="I12" s="52">
        <v>40000</v>
      </c>
      <c r="J12" s="52">
        <v>30000</v>
      </c>
      <c r="K12" s="52">
        <v>30000</v>
      </c>
      <c r="L12" s="52">
        <v>30000</v>
      </c>
      <c r="M12" s="52">
        <v>30000</v>
      </c>
      <c r="N12" s="52">
        <v>30000</v>
      </c>
      <c r="O12" s="20">
        <f>ROUND(SUM(H12:N12),2)</f>
        <v>490000</v>
      </c>
      <c r="P12" s="37" t="s">
        <v>15</v>
      </c>
      <c r="Q12" s="33" t="str">
        <f>IF(Q10&gt;2,"DA","NE")</f>
        <v>NE</v>
      </c>
      <c r="S12" s="29">
        <f>O12*W12</f>
        <v>0</v>
      </c>
      <c r="T12" s="33" t="str">
        <f>Q12</f>
        <v>NE</v>
      </c>
      <c r="W12" s="22">
        <f>W10</f>
        <v>0</v>
      </c>
    </row>
    <row r="13" spans="2:24" ht="39" customHeight="1" thickBot="1" x14ac:dyDescent="0.3">
      <c r="B13" s="35" t="s">
        <v>16</v>
      </c>
      <c r="C13" s="25"/>
      <c r="D13" s="14"/>
      <c r="E13" s="14"/>
      <c r="F13" s="14"/>
      <c r="G13" s="14"/>
      <c r="H13" s="31">
        <f t="shared" ref="H13:N13" si="2">ROUND(H8*H11,2)</f>
        <v>32592</v>
      </c>
      <c r="I13" s="32">
        <f t="shared" si="2"/>
        <v>152592</v>
      </c>
      <c r="J13" s="32">
        <f t="shared" si="2"/>
        <v>181728</v>
      </c>
      <c r="K13" s="32">
        <f t="shared" si="2"/>
        <v>227160</v>
      </c>
      <c r="L13" s="32">
        <f t="shared" si="2"/>
        <v>249876</v>
      </c>
      <c r="M13" s="32">
        <f t="shared" si="2"/>
        <v>227160</v>
      </c>
      <c r="N13" s="32">
        <f t="shared" si="2"/>
        <v>204444</v>
      </c>
      <c r="O13" s="20">
        <f>ROUND(SUM(H13:N13),2)</f>
        <v>1275552</v>
      </c>
      <c r="P13" s="9" t="s">
        <v>37</v>
      </c>
    </row>
    <row r="14" spans="2:24" ht="39" customHeight="1" thickBot="1" x14ac:dyDescent="0.25">
      <c r="B14" s="35" t="s">
        <v>36</v>
      </c>
      <c r="C14" s="25"/>
      <c r="D14" s="14"/>
      <c r="E14" s="14"/>
      <c r="F14" s="14"/>
      <c r="G14" s="14"/>
      <c r="H14" s="36">
        <f>IF(H12&lt;=0,0,H13/H12)</f>
        <v>0.10864</v>
      </c>
      <c r="I14" s="36">
        <f t="shared" ref="I14:N14" si="3">IF(I12&lt;=0,0,I13/I12)</f>
        <v>3.8148</v>
      </c>
      <c r="J14" s="36">
        <f t="shared" si="3"/>
        <v>6.0575999999999999</v>
      </c>
      <c r="K14" s="36">
        <f t="shared" si="3"/>
        <v>7.5720000000000001</v>
      </c>
      <c r="L14" s="36">
        <f t="shared" si="3"/>
        <v>8.3292000000000002</v>
      </c>
      <c r="M14" s="36">
        <f t="shared" si="3"/>
        <v>7.5720000000000001</v>
      </c>
      <c r="N14" s="36">
        <f t="shared" si="3"/>
        <v>6.8148</v>
      </c>
      <c r="O14" s="9"/>
      <c r="P14" s="53" t="s">
        <v>57</v>
      </c>
      <c r="Q14" s="33" t="str">
        <f>IF(Q10&gt;2,"DA","NE")</f>
        <v>NE</v>
      </c>
    </row>
    <row r="15" spans="2:24" ht="39" customHeight="1" thickBot="1" x14ac:dyDescent="0.3">
      <c r="B15" s="11" t="s">
        <v>35</v>
      </c>
      <c r="C15" s="25"/>
      <c r="D15" s="14"/>
      <c r="E15" s="14"/>
      <c r="F15" s="14"/>
      <c r="G15" s="14"/>
      <c r="H15" s="31">
        <f>IF($Q$10&gt;2,IF(H14&lt;$V$10,0,H13),H13)</f>
        <v>32592</v>
      </c>
      <c r="I15" s="31">
        <f t="shared" ref="I15:N15" si="4">IF($Q$10&gt;2,IF(I14&lt;$V$10,0,I13),I13)</f>
        <v>152592</v>
      </c>
      <c r="J15" s="31">
        <f t="shared" si="4"/>
        <v>181728</v>
      </c>
      <c r="K15" s="31">
        <f t="shared" si="4"/>
        <v>227160</v>
      </c>
      <c r="L15" s="31">
        <f t="shared" si="4"/>
        <v>249876</v>
      </c>
      <c r="M15" s="31">
        <f t="shared" si="4"/>
        <v>227160</v>
      </c>
      <c r="N15" s="31">
        <f t="shared" si="4"/>
        <v>204444</v>
      </c>
      <c r="O15" s="20">
        <f>ROUND(SUM(H15:N15),2)</f>
        <v>1275552</v>
      </c>
      <c r="P15" s="37" t="s">
        <v>51</v>
      </c>
      <c r="Q15" s="33" t="str">
        <f>IF(Q10&gt;2,"DA","NE")</f>
        <v>NE</v>
      </c>
    </row>
    <row r="16" spans="2:24" ht="39" customHeight="1" thickBot="1" x14ac:dyDescent="0.3">
      <c r="B16" s="2" t="s">
        <v>54</v>
      </c>
      <c r="C16" s="54" t="s">
        <v>29</v>
      </c>
      <c r="D16" s="54"/>
      <c r="E16" s="54"/>
      <c r="F16" s="54"/>
      <c r="G16" s="54"/>
      <c r="H16" s="67" t="str">
        <f>"Upošteva se "&amp;Q17*100&amp;"% upravičenih stroškov"&amp;IF(T12="DA"," oziroma "&amp;W12*100&amp;"% izgube (tudi mesečno) ","")&amp;", torej skupaj največ "&amp;TEXT(S17,"#.##0,00 €")</f>
        <v>Upošteva se 50% upravičenih stroškov, torej skupaj največ 500.000,00 €</v>
      </c>
      <c r="I16" s="68"/>
      <c r="J16" s="68"/>
      <c r="K16" s="68"/>
      <c r="L16" s="68"/>
      <c r="M16" s="68"/>
      <c r="N16" s="69"/>
      <c r="S16" s="29">
        <f>_xlfn.XLOOKUP(C16,B28:B30,G28:G30,"?")</f>
        <v>500000</v>
      </c>
      <c r="T16" s="33" t="str">
        <f>IF(T10&lt;&gt;0,"DA","NE")</f>
        <v>DA</v>
      </c>
    </row>
    <row r="17" spans="2:19" ht="39" customHeight="1" thickBot="1" x14ac:dyDescent="0.3">
      <c r="B17" s="13" t="s">
        <v>39</v>
      </c>
      <c r="C17" s="25"/>
      <c r="D17" s="14"/>
      <c r="E17" s="14"/>
      <c r="F17" s="14"/>
      <c r="G17" s="14"/>
      <c r="H17" s="30">
        <f>MIN(H15*$Q$17,IF($T$12="DA",H12*$W$12,X10))</f>
        <v>16296</v>
      </c>
      <c r="I17" s="30">
        <f t="shared" ref="I17:N17" si="5">MIN(I15*$Q$17,IF($T$12="DA",I12*$W$12,Y10))</f>
        <v>76296</v>
      </c>
      <c r="J17" s="30">
        <f t="shared" si="5"/>
        <v>90864</v>
      </c>
      <c r="K17" s="30">
        <f t="shared" si="5"/>
        <v>113580</v>
      </c>
      <c r="L17" s="30">
        <f t="shared" si="5"/>
        <v>124938</v>
      </c>
      <c r="M17" s="30">
        <f t="shared" si="5"/>
        <v>113580</v>
      </c>
      <c r="N17" s="30">
        <f t="shared" si="5"/>
        <v>102222</v>
      </c>
      <c r="O17" s="21">
        <f>ROUND(MIN(SUM(H17:N17),S17),2)</f>
        <v>500000</v>
      </c>
      <c r="P17" s="9" t="s">
        <v>25</v>
      </c>
      <c r="Q17" s="22">
        <f>_xlfn.XLOOKUP(C10,B22:B25,G22:G25,"?")</f>
        <v>0.5</v>
      </c>
      <c r="S17" s="29">
        <f>MIN(S10,IF(T12="DA",S12,X10),IF(T16="DA",S16,X10))</f>
        <v>500000</v>
      </c>
    </row>
    <row r="18" spans="2:19" ht="39" customHeight="1" thickBot="1" x14ac:dyDescent="0.3">
      <c r="H18" s="71">
        <f>ROUND((SUM(H17:K17)/SUM(H17:N17)),4)</f>
        <v>0.4657</v>
      </c>
      <c r="I18" s="72"/>
      <c r="J18" s="72"/>
      <c r="K18" s="73"/>
      <c r="L18" s="71">
        <f>ROUND((SUM(L17:N17)/SUM(H17:N17)),4)</f>
        <v>0.5343</v>
      </c>
      <c r="M18" s="72"/>
      <c r="N18" s="73"/>
      <c r="P18" s="9"/>
    </row>
    <row r="19" spans="2:19" ht="39" customHeight="1" thickBot="1" x14ac:dyDescent="0.3">
      <c r="H19" s="74">
        <f>H18*(O17)</f>
        <v>232850</v>
      </c>
      <c r="I19" s="75"/>
      <c r="J19" s="75"/>
      <c r="K19" s="76"/>
      <c r="L19" s="74">
        <f>L18*O17</f>
        <v>267150</v>
      </c>
      <c r="M19" s="75"/>
      <c r="N19" s="75"/>
      <c r="O19" s="21">
        <f>ROUND(SUM(H19:N19),2)</f>
        <v>500000</v>
      </c>
      <c r="P19" s="9"/>
    </row>
    <row r="21" spans="2:19" ht="39" hidden="1" customHeight="1" x14ac:dyDescent="0.2">
      <c r="B21" s="66" t="s">
        <v>28</v>
      </c>
      <c r="C21" s="66"/>
      <c r="D21" s="66"/>
      <c r="E21" s="16" t="s">
        <v>38</v>
      </c>
      <c r="F21" s="16" t="s">
        <v>23</v>
      </c>
      <c r="G21" s="16" t="s">
        <v>56</v>
      </c>
      <c r="H21" s="60" t="s">
        <v>26</v>
      </c>
      <c r="I21" s="61"/>
      <c r="J21" s="28"/>
      <c r="K21" s="15"/>
      <c r="L21" s="70" t="s">
        <v>32</v>
      </c>
      <c r="M21" s="55"/>
      <c r="N21" s="70" t="s">
        <v>33</v>
      </c>
      <c r="O21" s="55"/>
      <c r="P21" s="16" t="s">
        <v>34</v>
      </c>
    </row>
    <row r="22" spans="2:19" ht="15" hidden="1" customHeight="1" x14ac:dyDescent="0.25">
      <c r="B22" s="55" t="s">
        <v>20</v>
      </c>
      <c r="C22" s="55"/>
      <c r="D22" s="56"/>
      <c r="E22" s="15">
        <v>1</v>
      </c>
      <c r="F22" s="17"/>
      <c r="G22" s="26">
        <v>0.5</v>
      </c>
      <c r="H22" s="62">
        <v>500000</v>
      </c>
      <c r="I22" s="63"/>
      <c r="J22" s="27" t="s">
        <v>30</v>
      </c>
      <c r="K22" s="15"/>
      <c r="L22" s="64"/>
      <c r="M22" s="65"/>
      <c r="N22" s="64"/>
      <c r="O22" s="65"/>
      <c r="P22" s="24">
        <v>500000</v>
      </c>
    </row>
    <row r="23" spans="2:19" ht="15" hidden="1" customHeight="1" x14ac:dyDescent="0.25">
      <c r="B23" s="55" t="s">
        <v>21</v>
      </c>
      <c r="C23" s="55"/>
      <c r="D23" s="56"/>
      <c r="E23" s="15">
        <v>2</v>
      </c>
      <c r="F23" s="17">
        <v>0.7</v>
      </c>
      <c r="G23" s="17">
        <v>0.3</v>
      </c>
      <c r="H23" s="62">
        <v>2000000</v>
      </c>
      <c r="I23" s="63"/>
      <c r="J23" s="27"/>
      <c r="K23" s="15"/>
      <c r="L23" s="64"/>
      <c r="M23" s="65"/>
      <c r="N23" s="64"/>
      <c r="O23" s="65"/>
      <c r="P23" s="24">
        <v>2000000</v>
      </c>
    </row>
    <row r="24" spans="2:19" ht="15" hidden="1" customHeight="1" x14ac:dyDescent="0.25">
      <c r="B24" s="55" t="s">
        <v>22</v>
      </c>
      <c r="C24" s="55"/>
      <c r="D24" s="56"/>
      <c r="E24" s="15">
        <v>3</v>
      </c>
      <c r="F24" s="17"/>
      <c r="G24" s="17">
        <v>0.5</v>
      </c>
      <c r="H24" s="62">
        <v>2000000</v>
      </c>
      <c r="I24" s="63"/>
      <c r="J24" s="27"/>
      <c r="K24" s="15"/>
      <c r="L24" s="64">
        <v>0.5</v>
      </c>
      <c r="M24" s="65"/>
      <c r="N24" s="64">
        <v>0.8</v>
      </c>
      <c r="O24" s="65"/>
      <c r="P24" s="24">
        <v>25000000</v>
      </c>
    </row>
    <row r="25" spans="2:19" ht="15" hidden="1" customHeight="1" x14ac:dyDescent="0.25">
      <c r="B25" s="55" t="s">
        <v>31</v>
      </c>
      <c r="C25" s="55"/>
      <c r="D25" s="56"/>
      <c r="E25" s="15">
        <v>4</v>
      </c>
      <c r="F25" s="17"/>
      <c r="G25" s="17">
        <v>0.7</v>
      </c>
      <c r="H25" s="62">
        <v>2000000</v>
      </c>
      <c r="I25" s="63"/>
      <c r="J25" s="27"/>
      <c r="K25" s="15"/>
      <c r="L25" s="64">
        <v>0.5</v>
      </c>
      <c r="M25" s="65"/>
      <c r="N25" s="64">
        <v>0.8</v>
      </c>
      <c r="O25" s="65"/>
      <c r="P25" s="24">
        <v>50000000</v>
      </c>
    </row>
    <row r="26" spans="2:19" ht="15" hidden="1" customHeight="1" x14ac:dyDescent="0.25"/>
    <row r="27" spans="2:19" ht="15" hidden="1" customHeight="1" x14ac:dyDescent="0.25">
      <c r="B27" s="78" t="s">
        <v>55</v>
      </c>
      <c r="C27" s="78"/>
      <c r="D27" s="79"/>
      <c r="E27" s="16"/>
      <c r="F27" s="16"/>
      <c r="G27" s="70" t="s">
        <v>27</v>
      </c>
      <c r="H27" s="70"/>
    </row>
    <row r="28" spans="2:19" ht="15" hidden="1" customHeight="1" x14ac:dyDescent="0.25">
      <c r="B28" s="55" t="s">
        <v>52</v>
      </c>
      <c r="C28" s="55"/>
      <c r="D28" s="56"/>
      <c r="E28" s="17"/>
      <c r="F28" s="17"/>
      <c r="G28" s="77">
        <v>62000</v>
      </c>
      <c r="H28" s="77"/>
    </row>
    <row r="29" spans="2:19" ht="15" hidden="1" customHeight="1" x14ac:dyDescent="0.25">
      <c r="B29" s="55" t="s">
        <v>53</v>
      </c>
      <c r="C29" s="55"/>
      <c r="D29" s="56"/>
      <c r="E29" s="17"/>
      <c r="F29" s="17"/>
      <c r="G29" s="77">
        <v>75000</v>
      </c>
      <c r="H29" s="77"/>
    </row>
    <row r="30" spans="2:19" ht="15" hidden="1" customHeight="1" x14ac:dyDescent="0.25">
      <c r="B30" s="55" t="s">
        <v>29</v>
      </c>
      <c r="C30" s="55"/>
      <c r="D30" s="56"/>
      <c r="E30" s="17"/>
      <c r="F30" s="17"/>
      <c r="G30" s="77">
        <v>500000</v>
      </c>
      <c r="H30" s="77"/>
    </row>
  </sheetData>
  <sheetProtection algorithmName="SHA-512" hashValue="p4u2jH47WFXmUJtGLKZ4rNmxuZNDDwOHj1dA1tJlvSgohCHqFIOQJRDtpJk66KobdrjwWlM6y4wy7sSYEfhwhw==" saltValue="MfNQZ0sBhyTFgsJFa9vU1w==" spinCount="100000" sheet="1" objects="1" scenarios="1"/>
  <mergeCells count="36">
    <mergeCell ref="B30:D30"/>
    <mergeCell ref="G30:H30"/>
    <mergeCell ref="B27:D27"/>
    <mergeCell ref="B28:D28"/>
    <mergeCell ref="G28:H28"/>
    <mergeCell ref="B29:D29"/>
    <mergeCell ref="G29:H29"/>
    <mergeCell ref="C16:G16"/>
    <mergeCell ref="B21:D21"/>
    <mergeCell ref="H16:N16"/>
    <mergeCell ref="N21:O21"/>
    <mergeCell ref="G27:H27"/>
    <mergeCell ref="B24:D24"/>
    <mergeCell ref="L21:M21"/>
    <mergeCell ref="L22:M22"/>
    <mergeCell ref="L23:M23"/>
    <mergeCell ref="L18:N18"/>
    <mergeCell ref="H18:K18"/>
    <mergeCell ref="H19:K19"/>
    <mergeCell ref="L19:N19"/>
    <mergeCell ref="C10:G10"/>
    <mergeCell ref="B22:D22"/>
    <mergeCell ref="B23:D23"/>
    <mergeCell ref="B25:D25"/>
    <mergeCell ref="K10:N10"/>
    <mergeCell ref="H21:I21"/>
    <mergeCell ref="H22:I22"/>
    <mergeCell ref="H23:I23"/>
    <mergeCell ref="H24:I24"/>
    <mergeCell ref="H25:I25"/>
    <mergeCell ref="L24:M24"/>
    <mergeCell ref="N22:O22"/>
    <mergeCell ref="N23:O23"/>
    <mergeCell ref="N24:O24"/>
    <mergeCell ref="N25:O25"/>
    <mergeCell ref="L25:M25"/>
  </mergeCells>
  <dataValidations count="2">
    <dataValidation type="list" allowBlank="1" showInputMessage="1" showErrorMessage="1" sqref="C10:G10" xr:uid="{5CD258D1-554D-4F0D-BDDB-2C460ECE8942}">
      <formula1>$B$22:$B$25</formula1>
    </dataValidation>
    <dataValidation type="list" allowBlank="1" showInputMessage="1" showErrorMessage="1" sqref="C16:G16" xr:uid="{4BE61C98-B1F7-4588-AB8D-3E942B3800EE}">
      <formula1>$B$28:$B$30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51336-678A-4268-8841-1B963021759A}">
  <dimension ref="A1:M6"/>
  <sheetViews>
    <sheetView workbookViewId="0">
      <selection activeCell="B7" sqref="B7"/>
    </sheetView>
  </sheetViews>
  <sheetFormatPr defaultRowHeight="37.5" customHeight="1" x14ac:dyDescent="0.25"/>
  <cols>
    <col min="1" max="1" width="26.28515625" customWidth="1"/>
    <col min="2" max="13" width="14.28515625" customWidth="1"/>
  </cols>
  <sheetData>
    <row r="1" spans="1:13" ht="37.5" customHeight="1" thickBot="1" x14ac:dyDescent="0.3">
      <c r="A1" s="7" t="s">
        <v>40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</row>
    <row r="2" spans="1:13" ht="37.5" customHeight="1" thickBot="1" x14ac:dyDescent="0.3">
      <c r="A2" s="4" t="s">
        <v>46</v>
      </c>
      <c r="B2" s="41">
        <f>ROUND(List1!C3,2)</f>
        <v>50</v>
      </c>
      <c r="C2" s="41">
        <f>ROUND(List1!D3,2)</f>
        <v>50</v>
      </c>
      <c r="D2" s="41">
        <f>ROUND(List1!E3,2)</f>
        <v>55</v>
      </c>
      <c r="E2" s="41">
        <f>ROUND(List1!F3,2)</f>
        <v>50</v>
      </c>
      <c r="F2" s="41">
        <f>ROUND(List1!G3,2)</f>
        <v>52</v>
      </c>
      <c r="G2" s="41">
        <f>ROUND(List1!H3,2)</f>
        <v>50</v>
      </c>
      <c r="H2" s="41">
        <f>ROUND(List1!I3,2)</f>
        <v>100</v>
      </c>
      <c r="I2" s="41">
        <f>ROUND(List1!J3,2)</f>
        <v>100</v>
      </c>
      <c r="J2" s="41">
        <f>ROUND(List1!K3,2)</f>
        <v>100</v>
      </c>
      <c r="K2" s="41">
        <f>ROUND(List1!L3,2)</f>
        <v>150</v>
      </c>
      <c r="L2" s="41">
        <f>ROUND(List1!M3,2)</f>
        <v>230</v>
      </c>
      <c r="M2" s="41">
        <f>ROUND(List1!N3,2)</f>
        <v>230</v>
      </c>
    </row>
    <row r="3" spans="1:13" ht="37.5" customHeight="1" thickBot="1" x14ac:dyDescent="0.3">
      <c r="A3" s="4" t="s">
        <v>47</v>
      </c>
      <c r="B3" s="5"/>
      <c r="C3" s="5"/>
      <c r="D3" s="5"/>
      <c r="E3" s="5"/>
      <c r="F3" s="5"/>
      <c r="G3" s="42">
        <f>ROUND(List1!H4,3)</f>
        <v>1200</v>
      </c>
      <c r="H3" s="42">
        <f>ROUND(List1!I4,3)</f>
        <v>1200</v>
      </c>
      <c r="I3" s="42">
        <f>ROUND(List1!J4,3)</f>
        <v>800</v>
      </c>
      <c r="J3" s="42">
        <f>ROUND(List1!K4,3)</f>
        <v>1000</v>
      </c>
      <c r="K3" s="42">
        <f>ROUND(List1!L4,3)</f>
        <v>1100</v>
      </c>
      <c r="L3" s="42">
        <f>ROUND(List1!M4,3)</f>
        <v>1000</v>
      </c>
      <c r="M3" s="42">
        <f>ROUND(List1!N4,3)</f>
        <v>900</v>
      </c>
    </row>
    <row r="4" spans="1:13" ht="37.5" customHeight="1" thickBot="1" x14ac:dyDescent="0.3">
      <c r="A4" s="4" t="s">
        <v>48</v>
      </c>
      <c r="B4" s="5"/>
      <c r="C4" s="5"/>
      <c r="D4" s="5"/>
      <c r="E4" s="5"/>
      <c r="F4" s="5"/>
      <c r="G4" s="41">
        <f>ROUND(List1!H7,2)</f>
        <v>230</v>
      </c>
      <c r="H4" s="41">
        <f>ROUND(List1!I7,2)</f>
        <v>330</v>
      </c>
      <c r="I4" s="41">
        <f>ROUND(List1!J7,2)</f>
        <v>430</v>
      </c>
      <c r="J4" s="41">
        <f>ROUND(List1!K7,2)</f>
        <v>430</v>
      </c>
      <c r="K4" s="41">
        <f>ROUND(List1!L7,2)</f>
        <v>430</v>
      </c>
      <c r="L4" s="41">
        <f>ROUND(List1!M7,2)</f>
        <v>430</v>
      </c>
      <c r="M4" s="41">
        <f>ROUND(List1!N7,2)</f>
        <v>430</v>
      </c>
    </row>
    <row r="5" spans="1:13" ht="37.5" customHeight="1" thickBot="1" x14ac:dyDescent="0.3">
      <c r="A5" s="18" t="s">
        <v>49</v>
      </c>
      <c r="B5" s="14"/>
      <c r="C5" s="14"/>
      <c r="D5" s="14"/>
      <c r="E5" s="14"/>
      <c r="F5" s="14"/>
      <c r="G5" s="42">
        <f>ROUND(List1!H9,3)</f>
        <v>1200</v>
      </c>
      <c r="H5" s="42">
        <f>ROUND(List1!I9,3)</f>
        <v>1200</v>
      </c>
      <c r="I5" s="42">
        <f>ROUND(List1!J9,3)</f>
        <v>800</v>
      </c>
      <c r="J5" s="42">
        <f>ROUND(List1!K9,3)</f>
        <v>1000</v>
      </c>
      <c r="K5" s="42">
        <f>ROUND(List1!L9,3)</f>
        <v>1100</v>
      </c>
      <c r="L5" s="42">
        <f>ROUND(List1!M9,3)</f>
        <v>1000</v>
      </c>
      <c r="M5" s="42">
        <f>ROUND(List1!N9,3)</f>
        <v>900</v>
      </c>
    </row>
    <row r="6" spans="1:13" ht="37.5" customHeight="1" thickBot="1" x14ac:dyDescent="0.3">
      <c r="A6" s="4" t="s">
        <v>50</v>
      </c>
      <c r="B6" s="5"/>
      <c r="C6" s="5"/>
      <c r="D6" s="5"/>
      <c r="E6" s="5"/>
      <c r="F6" s="5"/>
      <c r="G6" s="41">
        <f>ROUND(List1!H12,2)</f>
        <v>300000</v>
      </c>
      <c r="H6" s="41">
        <f>ROUND(List1!I12,2)</f>
        <v>40000</v>
      </c>
      <c r="I6" s="41">
        <f>ROUND(List1!J12,2)</f>
        <v>30000</v>
      </c>
      <c r="J6" s="41">
        <f>ROUND(List1!K12,2)</f>
        <v>30000</v>
      </c>
      <c r="K6" s="41">
        <f>ROUND(List1!L12,2)</f>
        <v>30000</v>
      </c>
      <c r="L6" s="41">
        <f>ROUND(List1!M12,2)</f>
        <v>30000</v>
      </c>
      <c r="M6" s="41">
        <f>ROUND(List1!N12,2)</f>
        <v>30000</v>
      </c>
    </row>
  </sheetData>
  <sheetProtection algorithmName="SHA-512" hashValue="USH2d/w6gIJJt9UHphQsUVICLIqtMpjKcD//oP1vqBureMK81Pl+232iJ2ocCf4cVMF8WiMznJIpsQQSPw93Yw==" saltValue="LcOE/WEiIKS58AIS/kLoZ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Tina Mithans</cp:lastModifiedBy>
  <dcterms:created xsi:type="dcterms:W3CDTF">2022-09-08T10:16:13Z</dcterms:created>
  <dcterms:modified xsi:type="dcterms:W3CDTF">2022-11-10T10:32:29Z</dcterms:modified>
</cp:coreProperties>
</file>