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olivierlecoquil/Documents/Playground/03 Article PS ou créer sa société/"/>
    </mc:Choice>
  </mc:AlternateContent>
  <xr:revisionPtr revIDLastSave="0" documentId="13_ncr:1_{7B849C58-4206-024A-88F0-D9D742C4BBE3}" xr6:coauthVersionLast="47" xr6:coauthVersionMax="47" xr10:uidLastSave="{00000000-0000-0000-0000-000000000000}"/>
  <bookViews>
    <workbookView xWindow="23700" yWindow="600" windowWidth="24080" windowHeight="21000" xr2:uid="{00000000-000D-0000-FFFF-FFFF00000000}"/>
  </bookViews>
  <sheets>
    <sheet name="Analyse" sheetId="1" r:id="rId1"/>
    <sheet name="Analyse non financière" sheetId="2" state="hidden" r:id="rId2"/>
  </sheets>
  <definedNames>
    <definedName name="_xlnm.Print_Area" localSheetId="0">Analyse!$A$1:$J$77</definedName>
  </definedNames>
  <calcPr calcId="191029" calcMode="auto" fullCalcOnLoad="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8" i="2"/>
  <c r="D19" i="2"/>
  <c r="D11" i="2"/>
  <c r="B35" i="1"/>
  <c r="H14" i="1"/>
  <c r="A123" i="1"/>
  <c r="A122" i="1"/>
  <c r="B104" i="1"/>
  <c r="B105" i="1" s="1"/>
  <c r="B102" i="1"/>
  <c r="F24" i="1" s="1"/>
  <c r="B54" i="1"/>
  <c r="B53" i="1"/>
  <c r="B52" i="1"/>
  <c r="B51" i="1"/>
  <c r="B50" i="1"/>
  <c r="B49" i="1"/>
  <c r="B48" i="1"/>
  <c r="B47" i="1"/>
  <c r="B46" i="1"/>
  <c r="B37" i="1"/>
  <c r="B36" i="1"/>
  <c r="A33" i="1"/>
  <c r="B31" i="1"/>
  <c r="B30" i="1"/>
  <c r="B29" i="1"/>
  <c r="A27" i="1"/>
  <c r="E25" i="1"/>
  <c r="D25" i="1"/>
  <c r="C25" i="1"/>
  <c r="B25" i="1"/>
  <c r="E24" i="1"/>
  <c r="D24" i="1"/>
  <c r="C24" i="1"/>
  <c r="B24" i="1"/>
  <c r="E23" i="1"/>
  <c r="D23" i="1"/>
  <c r="C23" i="1"/>
  <c r="B23" i="1"/>
  <c r="B7" i="2"/>
  <c r="C17" i="2" l="1"/>
  <c r="E52" i="1" s="1"/>
  <c r="F25" i="1"/>
  <c r="H25" i="1" s="1"/>
  <c r="I25" i="1" s="1"/>
  <c r="J25" i="1" s="1"/>
  <c r="F23" i="1"/>
  <c r="H23" i="1" s="1"/>
  <c r="C13" i="2"/>
  <c r="E48" i="1" s="1"/>
  <c r="C18" i="2"/>
  <c r="E53" i="1" s="1"/>
  <c r="C19" i="2"/>
  <c r="E54" i="1" s="1"/>
  <c r="C14" i="2"/>
  <c r="E49" i="1" s="1"/>
  <c r="C15" i="2"/>
  <c r="E50" i="1" s="1"/>
  <c r="C11" i="2"/>
  <c r="E46" i="1" s="1"/>
  <c r="C12" i="2"/>
  <c r="E47" i="1" s="1"/>
  <c r="C16" i="2"/>
  <c r="E51" i="1" s="1"/>
  <c r="B107" i="1"/>
  <c r="B106" i="1"/>
  <c r="H24" i="1"/>
  <c r="B23" i="2" l="1"/>
  <c r="G121" i="1"/>
  <c r="F121" i="1"/>
  <c r="E121" i="1"/>
  <c r="D121" i="1"/>
  <c r="B25" i="2"/>
  <c r="B24" i="2"/>
  <c r="D37" i="1"/>
  <c r="E36" i="1"/>
  <c r="F35" i="1"/>
  <c r="C37" i="1"/>
  <c r="D36" i="1"/>
  <c r="E35" i="1"/>
  <c r="C36" i="1"/>
  <c r="D35" i="1"/>
  <c r="C35" i="1"/>
  <c r="F37" i="1"/>
  <c r="E37" i="1"/>
  <c r="F36" i="1"/>
  <c r="G25" i="1"/>
  <c r="F31" i="1"/>
  <c r="E31" i="1"/>
  <c r="F30" i="1"/>
  <c r="D31" i="1"/>
  <c r="E30" i="1"/>
  <c r="F29" i="1"/>
  <c r="C31" i="1"/>
  <c r="D30" i="1"/>
  <c r="E29" i="1"/>
  <c r="C30" i="1"/>
  <c r="D29" i="1"/>
  <c r="C29" i="1"/>
  <c r="I23" i="1"/>
  <c r="A60" i="1" s="1"/>
  <c r="I24" i="1"/>
  <c r="J24" i="1" s="1"/>
  <c r="G24" i="1" s="1"/>
  <c r="E23" i="2" l="1"/>
  <c r="C27" i="2" s="1"/>
  <c r="I44" i="1" s="1"/>
  <c r="E24" i="2"/>
  <c r="B27" i="2" s="1"/>
  <c r="H44" i="1" s="1"/>
  <c r="H31" i="1"/>
  <c r="I31" i="1" s="1"/>
  <c r="J31" i="1" s="1"/>
  <c r="H29" i="1"/>
  <c r="H37" i="1"/>
  <c r="I37" i="1" s="1"/>
  <c r="H36" i="1"/>
  <c r="H35" i="1"/>
  <c r="H30" i="1"/>
  <c r="I30" i="1" s="1"/>
  <c r="J30" i="1" s="1"/>
  <c r="J23" i="1"/>
  <c r="G23" i="1" s="1"/>
  <c r="H121" i="1" s="1"/>
  <c r="A59" i="1" s="1"/>
  <c r="A68" i="1" l="1"/>
  <c r="F122" i="1"/>
  <c r="E122" i="1"/>
  <c r="D122" i="1"/>
  <c r="G122" i="1"/>
  <c r="I35" i="1"/>
  <c r="D123" i="1"/>
  <c r="G123" i="1"/>
  <c r="F123" i="1"/>
  <c r="E123" i="1"/>
  <c r="E25" i="2"/>
  <c r="D27" i="2" s="1"/>
  <c r="J44" i="1" s="1"/>
  <c r="I36" i="1"/>
  <c r="J36" i="1" s="1"/>
  <c r="G31" i="1"/>
  <c r="I29" i="1"/>
  <c r="A63" i="1" s="1"/>
  <c r="G30" i="1"/>
  <c r="J37" i="1"/>
  <c r="G37" i="1" s="1"/>
  <c r="J35" i="1" l="1"/>
  <c r="G35" i="1" s="1"/>
  <c r="A66" i="1"/>
  <c r="J29" i="1"/>
  <c r="G29" i="1" s="1"/>
  <c r="H122" i="1" s="1"/>
  <c r="A62" i="1" s="1"/>
  <c r="G36" i="1"/>
  <c r="H123" i="1" s="1"/>
  <c r="A65" i="1" s="1"/>
</calcChain>
</file>

<file path=xl/sharedStrings.xml><?xml version="1.0" encoding="utf-8"?>
<sst xmlns="http://schemas.openxmlformats.org/spreadsheetml/2006/main" count="134" uniqueCount="86">
  <si>
    <t>Comparateur statuts freelance - Analyse non financière</t>
  </si>
  <si>
    <t>Profil actif</t>
  </si>
  <si>
    <t>Mode</t>
  </si>
  <si>
    <t>Choisissez un profil ou Personnalisé pour saisir manuellement les notes</t>
  </si>
  <si>
    <t>#</t>
  </si>
  <si>
    <t>Question</t>
  </si>
  <si>
    <t>Note active</t>
  </si>
  <si>
    <t>Note manuelle (1-5)</t>
  </si>
  <si>
    <t>Coeff Micro</t>
  </si>
  <si>
    <t>Coeff EURL/SASU</t>
  </si>
  <si>
    <t>Coeff Portage</t>
  </si>
  <si>
    <t>Sécurité/Chômage</t>
  </si>
  <si>
    <t>Simplicité/Rapidité</t>
  </si>
  <si>
    <t>Croissance/CA élevé</t>
  </si>
  <si>
    <t>Besoin sécurité revenu et droits chômage</t>
  </si>
  <si>
    <t>Tolérance charge administrative et pilotage</t>
  </si>
  <si>
    <t>CA anticipé régulièrement &gt; 90k</t>
  </si>
  <si>
    <t>Besoin lisibilité bancaire (immo/location)</t>
  </si>
  <si>
    <t>Volonté cadre simple court terme</t>
  </si>
  <si>
    <t>Volonté construire structure long terme</t>
  </si>
  <si>
    <t>Besoin flexibilité missions longues/courtes</t>
  </si>
  <si>
    <t>Sensibilité risque juridique/contractuel</t>
  </si>
  <si>
    <t>Disponibilité mentale gestion</t>
  </si>
  <si>
    <t>Scores</t>
  </si>
  <si>
    <t>Podium</t>
  </si>
  <si>
    <t>Micro-Entreprise</t>
  </si>
  <si>
    <t>1er</t>
  </si>
  <si>
    <t>EURL/SASU</t>
  </si>
  <si>
    <t>2e</t>
  </si>
  <si>
    <t>Portage Salarial</t>
  </si>
  <si>
    <t>3e</t>
  </si>
  <si>
    <t>Analyse financière</t>
  </si>
  <si>
    <t>Modifiez les paramètres en gras pour personnaliser la comparaison</t>
  </si>
  <si>
    <t>TJM HT (EUR)</t>
  </si>
  <si>
    <t>Durée d'activité = durée de cotisation ARE (mois)</t>
  </si>
  <si>
    <t>Jours facturables annuels (base)</t>
  </si>
  <si>
    <t>Frais professionnels annuels (EUR)</t>
  </si>
  <si>
    <t>Taux d'impayés / pertes (%)</t>
  </si>
  <si>
    <t>Seuil minimal d'ouverture des droits ARE (mois)</t>
  </si>
  <si>
    <t>Taux d'IR moyen estimé du foyer (%)</t>
  </si>
  <si>
    <t>Âge au moment de la rupture (ans)</t>
  </si>
  <si>
    <t>Seuil CA Micro-Entreprise services (EUR)</t>
  </si>
  <si>
    <t>LIC</t>
  </si>
  <si>
    <t>Taux de frais de gestion en portage salarial (%)</t>
  </si>
  <si>
    <t>Cas 1 - Activité seule</t>
  </si>
  <si>
    <t>Scénario</t>
  </si>
  <si>
    <t>CA scénario</t>
  </si>
  <si>
    <t>Micro-entreprise</t>
  </si>
  <si>
    <t>EURL</t>
  </si>
  <si>
    <t>SASU</t>
  </si>
  <si>
    <t>Portage salarial</t>
  </si>
  <si>
    <t>Commentaire</t>
  </si>
  <si>
    <t>Bas</t>
  </si>
  <si>
    <t>Prudent</t>
  </si>
  <si>
    <t>Favorable</t>
  </si>
  <si>
    <t>Analyse selon le profil</t>
  </si>
  <si>
    <t>Note  correspondant au scénario sélectionné</t>
  </si>
  <si>
    <t>Note personnalisée (si choix de profil Personnalisé)</t>
  </si>
  <si>
    <t>Synthèse</t>
  </si>
  <si>
    <t>Statut</t>
  </si>
  <si>
    <t>Frais gestion %CA</t>
  </si>
  <si>
    <t>Frais fixes annuels</t>
  </si>
  <si>
    <t>Charges patronales % brut</t>
  </si>
  <si>
    <t>Charges salariales % brut</t>
  </si>
  <si>
    <t>Durée ARE max théorique (mois)</t>
  </si>
  <si>
    <t>Coeff jours</t>
  </si>
  <si>
    <t>Durée de droits ARE ouverts (mois)</t>
  </si>
  <si>
    <t>Inactivité courte retenue (mois)</t>
  </si>
  <si>
    <t>Inactivité longue retenue (mois)</t>
  </si>
  <si>
    <t>Profil</t>
  </si>
  <si>
    <t>Croissance/CA élvé</t>
  </si>
  <si>
    <t>Personnalisé</t>
  </si>
  <si>
    <t>Comparateur de statuts freelance</t>
  </si>
  <si>
    <t>Choisissez un profil dans la liste déroulante suivante</t>
  </si>
  <si>
    <t>Si choix personnalisé, remplissez les cellules de droite dans le tableau ci-dessous</t>
  </si>
  <si>
    <t>Durée d'indemnisation courte simulée (mois) (Portage uniquement)</t>
  </si>
  <si>
    <t>Durée d'indemnisation longue simulée (mois) (Portage uniquement)</t>
  </si>
  <si>
    <t>Mode de sortie en cas de Portage (Rupture Conv ou Licenciement)</t>
  </si>
  <si>
    <t>En cas d'incohérence entre l'analyse financière et l'analyse selon le profil, nous vous invitons à vérifier vos paramétrages :</t>
  </si>
  <si>
    <t>Le choix de la simplicité offert par la Micro-Entreprise va souvent de pair avec des TJM peu élevés, et sinon, de façon temporaire uniquement du fait de l'impossibilité de maintenir longtemps ce régime avec un CA élevé.</t>
  </si>
  <si>
    <t>Le choix de la sécurité va en général de pair avec le portage salarial, même quand SASU et EURL sont plus intéressantes financièrement.</t>
  </si>
  <si>
    <t>Le choix de l'autonomie de gestion oriente plutôt vers la Micro-Entreprise pour les TJM les plus faibles, ou la SASU voire l'EURL pour un CA plus élevé ou si le but est de créer à terme une plus grosse société.</t>
  </si>
  <si>
    <t>Ce comparateur a été établi sur la base des taux de charges sociales en vigueur en mars 2006, et avec des hypothèses de frais fixes en EURL.SASU de 3500€ par an, et de 1500€ en Micro-Entreprise.</t>
  </si>
  <si>
    <t>L'équipe de Nexoris Portage se tient à votre disposition si vous aviez des questoins spécifiques. Contact Olivier Le Coquil : olecoquil@nexoris.com - 06 87 79 70 12</t>
  </si>
  <si>
    <r>
      <t>Podium selon le profil (</t>
    </r>
    <r>
      <rPr>
        <b/>
        <sz val="11"/>
        <color rgb="FFFF7901"/>
        <rFont val="Arial"/>
        <family val="2"/>
      </rPr>
      <t>financier</t>
    </r>
    <r>
      <rPr>
        <b/>
        <sz val="11"/>
        <color theme="0"/>
        <rFont val="Arial"/>
        <family val="2"/>
      </rPr>
      <t>)</t>
    </r>
  </si>
  <si>
    <r>
      <t>Podium selon le profil (</t>
    </r>
    <r>
      <rPr>
        <b/>
        <sz val="11"/>
        <color rgb="FFFF7901"/>
        <rFont val="Arial"/>
        <family val="2"/>
      </rPr>
      <t>non financier</t>
    </r>
    <r>
      <rPr>
        <b/>
        <sz val="11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</si>
</sst>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 * #,##0_)\ &quot;€&quot;_ ;_ * \(#,##0\)\ &quot;€&quot;_ ;_ * &quot;-&quot;??_)\ &quot;€&quot;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B2859"/>
      <name val="Calibri"/>
      <family val="2"/>
      <scheme val="minor"/>
    </font>
    <font>
      <sz val="11"/>
      <color theme="1"/>
      <name val="Arial"/>
      <family val="2"/>
    </font>
    <font>
      <sz val="11"/>
      <color rgb="FFE7E8E8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C000"/>
      <name val="Arial"/>
      <family val="2"/>
    </font>
    <font>
      <sz val="11"/>
      <color rgb="FF00B05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1B2859"/>
      <name val="Arial"/>
      <family val="2"/>
    </font>
    <font>
      <b/>
      <sz val="11"/>
      <color theme="0"/>
      <name val="Calibri"/>
      <family val="2"/>
      <scheme val="minor"/>
    </font>
    <font>
      <sz val="11"/>
      <color rgb="FF1B2859"/>
      <name val="Arial"/>
      <family val="2"/>
    </font>
    <font>
      <b/>
      <sz val="24"/>
      <color rgb="FF1B2859"/>
      <name val="Arial"/>
      <family val="2"/>
    </font>
    <font>
      <sz val="16"/>
      <color theme="1"/>
      <name val="Arial"/>
      <family val="2"/>
    </font>
    <font>
      <sz val="11"/>
      <color rgb="FFFF7901"/>
      <name val="Arial"/>
      <family val="2"/>
    </font>
    <font>
      <sz val="12"/>
      <color rgb="FFFF7901"/>
      <name val="Arial"/>
      <family val="2"/>
    </font>
    <font>
      <b/>
      <sz val="11"/>
      <color rgb="FFFF790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B2859"/>
        <bgColor indexed="64"/>
      </patternFill>
    </fill>
    <fill>
      <patternFill patternType="solid">
        <fgColor rgb="FFFF7901"/>
        <bgColor indexed="64"/>
      </patternFill>
    </fill>
    <fill>
      <patternFill patternType="solid">
        <fgColor rgb="FFFBB646"/>
        <bgColor indexed="64"/>
      </patternFill>
    </fill>
    <fill>
      <patternFill patternType="solid">
        <fgColor rgb="FFA6A6B0"/>
        <bgColor indexed="64"/>
      </patternFill>
    </fill>
    <fill>
      <patternFill patternType="solid">
        <fgColor rgb="FFE16D49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9" fillId="2" borderId="11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5" fillId="0" borderId="15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1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vertical="top"/>
    </xf>
    <xf numFmtId="164" fontId="5" fillId="0" borderId="1" xfId="1" applyNumberFormat="1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right" vertical="top"/>
      <protection locked="0"/>
    </xf>
    <xf numFmtId="0" fontId="3" fillId="2" borderId="2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164" fontId="3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164" fontId="3" fillId="0" borderId="0" xfId="1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10" fillId="2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9" fillId="5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top"/>
    </xf>
    <xf numFmtId="0" fontId="9" fillId="6" borderId="7" xfId="0" applyFont="1" applyFill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9" fillId="5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top"/>
    </xf>
    <xf numFmtId="0" fontId="9" fillId="6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/>
    </xf>
    <xf numFmtId="164" fontId="5" fillId="0" borderId="15" xfId="1" quotePrefix="1" applyNumberFormat="1" applyFont="1" applyBorder="1" applyAlignment="1" applyProtection="1">
      <alignment vertical="top"/>
      <protection locked="0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3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9" fillId="7" borderId="1" xfId="0" applyFont="1" applyFill="1" applyBorder="1" applyAlignment="1">
      <alignment horizontal="center" vertical="top" wrapText="1"/>
    </xf>
    <xf numFmtId="0" fontId="13" fillId="7" borderId="0" xfId="0" applyFont="1" applyFill="1" applyAlignment="1">
      <alignment vertical="top"/>
    </xf>
    <xf numFmtId="0" fontId="16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9" fillId="2" borderId="1" xfId="0" applyFont="1" applyFill="1" applyBorder="1" applyAlignment="1">
      <alignment vertical="top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0" fillId="0" borderId="12" xfId="0" applyBorder="1"/>
    <xf numFmtId="0" fontId="0" fillId="0" borderId="13" xfId="0" applyBorder="1"/>
    <xf numFmtId="0" fontId="12" fillId="2" borderId="1" xfId="0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 applyProtection="1">
      <alignment vertical="top"/>
      <protection locked="0"/>
    </xf>
    <xf numFmtId="0" fontId="17" fillId="2" borderId="0" xfId="0" applyFont="1" applyFill="1" applyAlignment="1">
      <alignment vertical="top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7901"/>
      <color rgb="FF1B28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12452</xdr:colOff>
      <xdr:row>44</xdr:row>
      <xdr:rowOff>393700</xdr:rowOff>
    </xdr:from>
    <xdr:to>
      <xdr:col>9</xdr:col>
      <xdr:colOff>1181099</xdr:colOff>
      <xdr:row>52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89645E-6036-011F-7EAE-FDE83B310D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131"/>
        <a:stretch>
          <a:fillRect/>
        </a:stretch>
      </xdr:blipFill>
      <xdr:spPr>
        <a:xfrm>
          <a:off x="9994652" y="7759700"/>
          <a:ext cx="3556247" cy="1739900"/>
        </a:xfrm>
        <a:prstGeom prst="rect">
          <a:avLst/>
        </a:prstGeom>
      </xdr:spPr>
    </xdr:pic>
    <xdr:clientData/>
  </xdr:twoCellAnchor>
  <xdr:twoCellAnchor editAs="oneCell">
    <xdr:from>
      <xdr:col>7</xdr:col>
      <xdr:colOff>650874</xdr:colOff>
      <xdr:row>0</xdr:row>
      <xdr:rowOff>0</xdr:rowOff>
    </xdr:from>
    <xdr:to>
      <xdr:col>9</xdr:col>
      <xdr:colOff>1162049</xdr:colOff>
      <xdr:row>4</xdr:row>
      <xdr:rowOff>2072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12276E-0D88-C8F2-8E9D-6EB1143A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99" y="0"/>
          <a:ext cx="2892425" cy="906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8"/>
  <sheetViews>
    <sheetView tabSelected="1" zoomScale="80" zoomScaleNormal="80" workbookViewId="0">
      <selection activeCell="D42" sqref="D42"/>
    </sheetView>
  </sheetViews>
  <sheetFormatPr baseColWidth="10" defaultColWidth="8.83203125" defaultRowHeight="14" x14ac:dyDescent="0.2"/>
  <cols>
    <col min="1" max="1" width="20.6640625" style="3" customWidth="1"/>
    <col min="2" max="2" width="16.83203125" style="3" customWidth="1"/>
    <col min="3" max="6" width="20.33203125" style="3" customWidth="1"/>
    <col min="7" max="7" width="28" style="3" customWidth="1"/>
    <col min="8" max="10" width="15.6640625" style="3" customWidth="1"/>
    <col min="11" max="11" width="8.83203125" style="3" customWidth="1"/>
    <col min="12" max="16384" width="8.83203125" style="3"/>
  </cols>
  <sheetData>
    <row r="1" spans="1:10" ht="30" x14ac:dyDescent="0.2">
      <c r="A1" s="48" t="s">
        <v>72</v>
      </c>
    </row>
    <row r="9" spans="1:10" ht="20" x14ac:dyDescent="0.2">
      <c r="A9" s="49" t="s">
        <v>31</v>
      </c>
      <c r="B9" s="4"/>
      <c r="C9" s="4"/>
      <c r="D9" s="4"/>
      <c r="E9" s="4"/>
      <c r="F9" s="4"/>
      <c r="G9" s="4"/>
      <c r="H9" s="4"/>
      <c r="I9" s="4"/>
      <c r="J9" s="4"/>
    </row>
    <row r="11" spans="1:10" x14ac:dyDescent="0.2">
      <c r="A11" s="5" t="s">
        <v>32</v>
      </c>
      <c r="B11" s="6"/>
      <c r="C11" s="6"/>
      <c r="D11" s="6"/>
      <c r="E11" s="6"/>
      <c r="F11" s="6"/>
      <c r="G11" s="7"/>
    </row>
    <row r="12" spans="1:10" x14ac:dyDescent="0.2">
      <c r="A12" s="8" t="s">
        <v>33</v>
      </c>
      <c r="B12" s="9"/>
      <c r="C12" s="46">
        <v>500</v>
      </c>
      <c r="D12" s="8" t="s">
        <v>34</v>
      </c>
      <c r="E12" s="9"/>
      <c r="F12" s="10"/>
      <c r="G12" s="11">
        <v>24</v>
      </c>
    </row>
    <row r="13" spans="1:10" x14ac:dyDescent="0.2">
      <c r="A13" s="12" t="s">
        <v>35</v>
      </c>
      <c r="B13" s="13"/>
      <c r="C13" s="14">
        <v>220</v>
      </c>
      <c r="D13" s="12" t="s">
        <v>75</v>
      </c>
      <c r="E13" s="13"/>
      <c r="F13" s="15"/>
      <c r="G13" s="14">
        <v>6</v>
      </c>
    </row>
    <row r="14" spans="1:10" x14ac:dyDescent="0.2">
      <c r="A14" s="12" t="s">
        <v>36</v>
      </c>
      <c r="B14" s="13"/>
      <c r="C14" s="16">
        <v>6000</v>
      </c>
      <c r="D14" s="12" t="s">
        <v>76</v>
      </c>
      <c r="E14" s="13"/>
      <c r="F14" s="15"/>
      <c r="G14" s="14">
        <v>12</v>
      </c>
      <c r="H14" s="3" t="str">
        <f>+IF(G14&lt;=G13,"La période d'inactivité longue doit être supérieure à la période d'inactivité courte.","")</f>
        <v/>
      </c>
    </row>
    <row r="15" spans="1:10" x14ac:dyDescent="0.2">
      <c r="A15" s="12" t="s">
        <v>37</v>
      </c>
      <c r="B15" s="13"/>
      <c r="C15" s="14">
        <v>1</v>
      </c>
      <c r="D15" s="12" t="s">
        <v>38</v>
      </c>
      <c r="E15" s="13"/>
      <c r="F15" s="15"/>
      <c r="G15" s="14">
        <v>6</v>
      </c>
    </row>
    <row r="16" spans="1:10" x14ac:dyDescent="0.2">
      <c r="A16" s="12" t="s">
        <v>39</v>
      </c>
      <c r="B16" s="13"/>
      <c r="C16" s="14">
        <v>24</v>
      </c>
      <c r="D16" s="12" t="s">
        <v>40</v>
      </c>
      <c r="E16" s="13"/>
      <c r="F16" s="15"/>
      <c r="G16" s="14">
        <v>40</v>
      </c>
    </row>
    <row r="17" spans="1:10" x14ac:dyDescent="0.2">
      <c r="A17" s="12" t="s">
        <v>41</v>
      </c>
      <c r="B17" s="13"/>
      <c r="C17" s="16">
        <v>83600</v>
      </c>
      <c r="D17" s="12" t="s">
        <v>77</v>
      </c>
      <c r="E17" s="13"/>
      <c r="F17" s="15"/>
      <c r="G17" s="17" t="s">
        <v>42</v>
      </c>
    </row>
    <row r="18" spans="1:10" x14ac:dyDescent="0.2">
      <c r="A18" s="18"/>
      <c r="B18" s="19"/>
      <c r="C18" s="19"/>
      <c r="D18" s="12" t="s">
        <v>43</v>
      </c>
      <c r="E18" s="13"/>
      <c r="F18" s="15"/>
      <c r="G18" s="14">
        <v>5</v>
      </c>
    </row>
    <row r="19" spans="1:10" ht="15" thickBot="1" x14ac:dyDescent="0.25">
      <c r="A19" s="66"/>
      <c r="E19" s="66"/>
      <c r="F19" s="66"/>
      <c r="G19" s="67"/>
    </row>
    <row r="20" spans="1:10" x14ac:dyDescent="0.2">
      <c r="H20" s="56" t="s">
        <v>84</v>
      </c>
      <c r="I20" s="57"/>
      <c r="J20" s="58"/>
    </row>
    <row r="21" spans="1:10" ht="15" thickBot="1" x14ac:dyDescent="0.25">
      <c r="A21" s="20" t="s">
        <v>44</v>
      </c>
      <c r="H21" s="59"/>
      <c r="I21" s="60"/>
      <c r="J21" s="61"/>
    </row>
    <row r="22" spans="1:10" x14ac:dyDescent="0.2">
      <c r="A22" s="55" t="s">
        <v>45</v>
      </c>
      <c r="B22" s="55" t="s">
        <v>46</v>
      </c>
      <c r="C22" s="55" t="s">
        <v>47</v>
      </c>
      <c r="D22" s="55" t="s">
        <v>48</v>
      </c>
      <c r="E22" s="55" t="s">
        <v>49</v>
      </c>
      <c r="F22" s="55" t="s">
        <v>50</v>
      </c>
      <c r="G22" s="55" t="s">
        <v>51</v>
      </c>
      <c r="H22" s="55" t="s">
        <v>26</v>
      </c>
      <c r="I22" s="55" t="s">
        <v>28</v>
      </c>
      <c r="J22" s="55" t="s">
        <v>30</v>
      </c>
    </row>
    <row r="23" spans="1:10" x14ac:dyDescent="0.2">
      <c r="A23" s="21" t="s">
        <v>52</v>
      </c>
      <c r="B23" s="22">
        <f>$C$12*$C$13*INDEX($E$105:$E$107,MATCH($A23,$D$105:$D$107,0))*(1-$C$15/100)</f>
        <v>76230</v>
      </c>
      <c r="C23" s="22">
        <f t="shared" ref="C23:F25" si="0">((IF(C$22="Micro-entreprise",(MAX(0,($C$12*$C$13*INDEX($E$105:$E$107,MATCH($A23,$D$105:$D$107,0))*(1-$C$15/100))-$C$14-($C$12*$C$13*INDEX($E$105:$E$107,MATCH($A23,$D$105:$D$107,0))*(1-$C$15/100))*INDEX($B$99:$B$102,MATCH(C$22,$A$99:$A$102,0))/100-INDEX($C$99:$C$102,MATCH(C$22,$A$99:$A$102,0))))*(1-INDEX($D$99:$D$102,MATCH(C$22,$A$99:$A$102,0))/100),((MAX(0,($C$12*$C$13*INDEX($E$105:$E$107,MATCH($A23,$D$105:$D$107,0))*(1-$C$15/100))-$C$14-($C$12*$C$13*INDEX($E$105:$E$107,MATCH($A23,$D$105:$D$107,0))*(1-$C$15/100))*INDEX($B$99:$B$102,MATCH(C$22,$A$99:$A$102,0))/100-INDEX($C$99:$C$102,MATCH(C$22,$A$99:$A$102,0))))/(1+INDEX($D$99:$D$102,MATCH(C$22,$A$99:$A$102,0))/100))*(1-INDEX($E$99:$E$102,MATCH(C$22,$A$99:$A$102,0))/100)))*(1-$C$16/100))/12</f>
        <v>3238.5576000000001</v>
      </c>
      <c r="D23" s="22">
        <f t="shared" si="0"/>
        <v>2914.6436781609195</v>
      </c>
      <c r="E23" s="22">
        <f t="shared" si="0"/>
        <v>2273.4220689655172</v>
      </c>
      <c r="F23" s="22">
        <f t="shared" si="0"/>
        <v>2262.8095862068972</v>
      </c>
      <c r="G23" s="53" t="str">
        <f>IF(AND(COUNTIF(H23:J23,"Micro-entreprise")&gt;0,($C$12*$C$13*INDEX($E$105:$E$107,MATCH($A23,$D$105:$D$107,0))*(1-$C$15/100))&gt;$C$17),"Micro non maintenable à terme","" )</f>
        <v/>
      </c>
      <c r="H23" s="23" t="str">
        <f>INDEX($C$22:$F$22,MATCH(MAX(C23:F23),C23:F23,0))</f>
        <v>Micro-entreprise</v>
      </c>
      <c r="I23" s="23" t="str">
        <f>INDEX($C$22:$F$22,MATCH(1,INDEX((C23:F23=LARGE(C23:F23,2))*(COUNTIF($H23:H23,$C$22:$F$22)=0),0),0))</f>
        <v>EURL</v>
      </c>
      <c r="J23" s="23" t="str">
        <f>INDEX($C$22:$F$22,MATCH(1,INDEX((C23:F23=LARGE(C23:F23,3))*(COUNTIF($H23:I23,$C$22:$F$22)=0),0),0))</f>
        <v>SASU</v>
      </c>
    </row>
    <row r="24" spans="1:10" x14ac:dyDescent="0.2">
      <c r="A24" s="24" t="s">
        <v>53</v>
      </c>
      <c r="B24" s="22">
        <f>$C$12*$C$13*INDEX($E$105:$E$107,MATCH($A24,$D$105:$D$107,0))*(1-$C$15/100)</f>
        <v>92565</v>
      </c>
      <c r="C24" s="22">
        <f t="shared" si="0"/>
        <v>4008.2628</v>
      </c>
      <c r="D24" s="22">
        <f t="shared" si="0"/>
        <v>3628.1264367816093</v>
      </c>
      <c r="E24" s="22">
        <f t="shared" si="0"/>
        <v>2829.9386206896556</v>
      </c>
      <c r="F24" s="22">
        <f t="shared" si="0"/>
        <v>2791.5003103448275</v>
      </c>
      <c r="G24" s="53" t="str">
        <f>IF(AND(COUNTIF(H24:J24,"Micro-entreprise")&gt;0,($C$12*$C$13*INDEX($E$105:$E$107,MATCH($A24,$D$105:$D$107,0))*(1-$C$15/100))&gt;$C$17),"Micro non maintenable à terme","" )</f>
        <v>Micro non maintenable à terme</v>
      </c>
      <c r="H24" s="23" t="str">
        <f>INDEX($C$22:$F$22,MATCH(MAX(C24:F24),C24:F24,0))</f>
        <v>Micro-entreprise</v>
      </c>
      <c r="I24" s="23" t="str">
        <f>INDEX($C$22:$F$22,MATCH(1,INDEX((C24:F24=LARGE(C24:F24,2))*(COUNTIF($H24:H24,$C$22:$F$22)=0),0),0))</f>
        <v>EURL</v>
      </c>
      <c r="J24" s="23" t="str">
        <f>INDEX($C$22:$F$22,MATCH(1,INDEX((C24:F24=LARGE(C24:F24,3))*(COUNTIF($H24:I24,$C$22:$F$22)=0),0),0))</f>
        <v>SASU</v>
      </c>
    </row>
    <row r="25" spans="1:10" x14ac:dyDescent="0.2">
      <c r="A25" s="25" t="s">
        <v>54</v>
      </c>
      <c r="B25" s="22">
        <f>$C$12*$C$13*INDEX($E$105:$E$107,MATCH($A25,$D$105:$D$107,0))*(1-$C$15/100)</f>
        <v>108900</v>
      </c>
      <c r="C25" s="22">
        <f t="shared" si="0"/>
        <v>4777.9679999999998</v>
      </c>
      <c r="D25" s="22">
        <f t="shared" si="0"/>
        <v>4341.6091954022995</v>
      </c>
      <c r="E25" s="22">
        <f t="shared" si="0"/>
        <v>3386.4551724137941</v>
      </c>
      <c r="F25" s="22">
        <f t="shared" si="0"/>
        <v>3320.1910344827588</v>
      </c>
      <c r="G25" s="53" t="str">
        <f>IF(AND(COUNTIF(H25:J25,"Micro-entreprise")&gt;0,($C$12*$C$13*INDEX($E$105:$E$107,MATCH($A25,$D$105:$D$107,0))*(1-$C$15/100))&gt;$C$17),"Micro non maintenable à terme","" )</f>
        <v>Micro non maintenable à terme</v>
      </c>
      <c r="H25" s="23" t="str">
        <f>INDEX($C$22:$F$22,MATCH(MAX(C25:F25),C25:F25,0))</f>
        <v>Micro-entreprise</v>
      </c>
      <c r="I25" s="23" t="str">
        <f>INDEX($C$22:$F$22,MATCH(1,INDEX((C25:F25=LARGE(C25:F25,2))*(COUNTIF($H25:H25,$C$22:$F$22)=0),0),0))</f>
        <v>EURL</v>
      </c>
      <c r="J25" s="23" t="str">
        <f>INDEX($C$22:$F$22,MATCH(1,INDEX((C25:F25=LARGE(C25:F25,3))*(COUNTIF($H25:I25,$C$22:$F$22)=0),0),0))</f>
        <v>SASU</v>
      </c>
    </row>
    <row r="26" spans="1:10" x14ac:dyDescent="0.2">
      <c r="B26" s="26"/>
      <c r="C26" s="26"/>
      <c r="D26" s="26"/>
      <c r="E26" s="26"/>
      <c r="F26" s="26"/>
    </row>
    <row r="27" spans="1:10" x14ac:dyDescent="0.2">
      <c r="A27" s="20" t="str">
        <f>+"Cas 2 - Revenu net moyen avec indmenité ARE de "&amp;G13&amp;" mois"</f>
        <v>Cas 2 - Revenu net moyen avec indmenité ARE de 6 mois</v>
      </c>
    </row>
    <row r="28" spans="1:10" x14ac:dyDescent="0.2">
      <c r="A28" s="55" t="s">
        <v>45</v>
      </c>
      <c r="B28" s="55" t="s">
        <v>46</v>
      </c>
      <c r="C28" s="55" t="s">
        <v>47</v>
      </c>
      <c r="D28" s="55" t="s">
        <v>48</v>
      </c>
      <c r="E28" s="55" t="s">
        <v>49</v>
      </c>
      <c r="F28" s="55" t="s">
        <v>50</v>
      </c>
      <c r="G28" s="55" t="s">
        <v>51</v>
      </c>
      <c r="H28" s="55" t="s">
        <v>26</v>
      </c>
      <c r="I28" s="55" t="s">
        <v>28</v>
      </c>
      <c r="J28" s="55" t="s">
        <v>30</v>
      </c>
    </row>
    <row r="29" spans="1:10" x14ac:dyDescent="0.2">
      <c r="A29" s="21" t="s">
        <v>52</v>
      </c>
      <c r="B29" s="22">
        <f>$C$12*$C$13*INDEX($E$105:$E$107,MATCH($A29,$D$105:$D$107,0))*(1-$C$15/100)</f>
        <v>76230</v>
      </c>
      <c r="C29" s="22">
        <f t="shared" ref="C29:F31" si="1">IF(($G$12+$B$106)=0,0,((((IF(C$28="Micro-entreprise",(MAX(0,($C$12*$C$13*INDEX($E$105:$E$107,MATCH($A29,$D$105:$D$107,0))*(1-$C$15/100))-$C$14-($C$12*$C$13*INDEX($E$105:$E$107,MATCH($A29,$D$105:$D$107,0))*(1-$C$15/100))*INDEX($B$99:$B$102,MATCH(C$28,$A$99:$A$102,0))/100-INDEX($C$99:$C$102,MATCH(C$28,$A$99:$A$102,0))))*(1-INDEX($D$99:$D$102,MATCH(C$28,$A$99:$A$102,0))/100),((MAX(0,($C$12*$C$13*INDEX($E$105:$E$107,MATCH($A29,$D$105:$D$107,0))*(1-$C$15/100))-$C$14-($C$12*$C$13*INDEX($E$105:$E$107,MATCH($A29,$D$105:$D$107,0))*(1-$C$15/100))*INDEX($B$99:$B$102,MATCH(C$28,$A$99:$A$102,0))/100-INDEX($C$99:$C$102,MATCH(C$28,$A$99:$A$102,0))))/(1+INDEX($D$99:$D$102,MATCH(C$28,$A$99:$A$102,0))/100))*(1-INDEX($E$99:$E$102,MATCH(C$28,$A$99:$A$102,0))/100)))*(1-$C$16/100))/12*$G$12)+(IF(C$28="Portage salarial",((MAX(0,($C$12*$C$13*INDEX($E$105:$E$107,MATCH($A29,$D$105:$D$107,0))*(1-$C$15/100))-$C$14-($C$12*$C$13*INDEX($E$105:$E$107,MATCH($A29,$D$105:$D$107,0))*(1-$C$15/100))*INDEX($B$99:$B$102,MATCH(C$28,$A$99:$A$102,0))/100-INDEX($C$99:$C$102,MATCH(C$28,$A$99:$A$102,0))))/(1+INDEX($D$99:$D$102,MATCH(C$28,$A$99:$A$102,0))/100))/12*0.57,0)*$B$106))/($G$12+$B$106))</f>
        <v>2590.8460800000003</v>
      </c>
      <c r="D29" s="22">
        <f t="shared" si="1"/>
        <v>2331.7149425287357</v>
      </c>
      <c r="E29" s="22">
        <f t="shared" si="1"/>
        <v>1818.7376551724135</v>
      </c>
      <c r="F29" s="22">
        <f>IF(($G$12+$B$106)=0,0,((((MAX(0,$B29-$C$14-$B29*$B$102/100-$C$102)/(1+$D$102/100))*(1-$E$102/100))*(1-$C$16/100)/12*$G$12)+INDEX($E$108:$E$110,MATCH($A29,$D$105:$D$107,0)))/($G$12+$B$106))</f>
        <v>2245.4033586206906</v>
      </c>
      <c r="G29" s="53" t="str">
        <f>IF(AND(COUNTIF(H29:J29,"Micro-entreprise")&gt;0,($C$12*$C$13*INDEX($E$105:$E$107,MATCH($A29,$D$105:$D$107,0))*(1-$C$15/100))&gt;$C$17),"Micro non maintenable à terme","" )</f>
        <v/>
      </c>
      <c r="H29" s="23" t="str">
        <f>INDEX($C$28:$F$28,MATCH(MAX(C29:F29),C29:F29,0))</f>
        <v>Micro-entreprise</v>
      </c>
      <c r="I29" s="23" t="str">
        <f>INDEX($C$28:$F$28,MATCH(1,INDEX((C29:F29=LARGE(C29:F29,2))*(COUNTIF($H29:H29,$C$28:$F$28)=0),0),0))</f>
        <v>EURL</v>
      </c>
      <c r="J29" s="23" t="str">
        <f>INDEX($C$28:$F$28,MATCH(1,INDEX((C29:F29=LARGE(C29:F29,3))*(COUNTIF($H29:I29,$C$28:$F$28)=0),0),0))</f>
        <v>Portage salarial</v>
      </c>
    </row>
    <row r="30" spans="1:10" x14ac:dyDescent="0.2">
      <c r="A30" s="24" t="s">
        <v>53</v>
      </c>
      <c r="B30" s="22">
        <f>$C$12*$C$13*INDEX($E$105:$E$107,MATCH($A30,$D$105:$D$107,0))*(1-$C$15/100)</f>
        <v>92565</v>
      </c>
      <c r="C30" s="22">
        <f t="shared" si="1"/>
        <v>3206.61024</v>
      </c>
      <c r="D30" s="22">
        <f t="shared" si="1"/>
        <v>2902.5011494252876</v>
      </c>
      <c r="E30" s="22">
        <f t="shared" si="1"/>
        <v>2263.9508965517243</v>
      </c>
      <c r="F30" s="22">
        <f>IF(($G$12+$B$106)=0,0,((((MAX(0,$B30-$C$14-$B30*$B$102/100-$C$102)/(1+$D$102/100))*(1-$E$102/100))*(1-$C$16/100)/12*$G$12)+INDEX($E$108:$E$110,MATCH($A30,$D$105:$D$107,0)))/($G$12+$B$106))</f>
        <v>2770.0272310344826</v>
      </c>
      <c r="G30" s="53" t="str">
        <f>IF(AND(COUNTIF(H30:J30,"Micro-entreprise")&gt;0,($C$12*$C$13*INDEX($E$105:$E$107,MATCH($A30,$D$105:$D$107,0))*(1-$C$15/100))&gt;$C$17),"Micro non maintenable à terme","" )</f>
        <v>Micro non maintenable à terme</v>
      </c>
      <c r="H30" s="23" t="str">
        <f>INDEX($C$28:$F$28,MATCH(MAX(C30:F30),C30:F30,0))</f>
        <v>Micro-entreprise</v>
      </c>
      <c r="I30" s="23" t="str">
        <f>INDEX($C$28:$F$28,MATCH(1,INDEX((C30:F30=LARGE(C30:F30,2))*(COUNTIF($H30:H30,$C$28:$F$28)=0),0),0))</f>
        <v>EURL</v>
      </c>
      <c r="J30" s="23" t="str">
        <f>INDEX($C$28:$F$28,MATCH(1,INDEX((C30:F30=LARGE(C30:F30,3))*(COUNTIF($H30:I30,$C$28:$F$28)=0),0),0))</f>
        <v>Portage salarial</v>
      </c>
    </row>
    <row r="31" spans="1:10" x14ac:dyDescent="0.2">
      <c r="A31" s="25" t="s">
        <v>54</v>
      </c>
      <c r="B31" s="22">
        <f>$C$12*$C$13*INDEX($E$105:$E$107,MATCH($A31,$D$105:$D$107,0))*(1-$C$15/100)</f>
        <v>108900</v>
      </c>
      <c r="C31" s="22">
        <f t="shared" si="1"/>
        <v>3822.3743999999997</v>
      </c>
      <c r="D31" s="22">
        <f t="shared" si="1"/>
        <v>3473.2873563218395</v>
      </c>
      <c r="E31" s="22">
        <f t="shared" si="1"/>
        <v>2709.1641379310354</v>
      </c>
      <c r="F31" s="22">
        <f>IF(($G$12+$B$106)=0,0,((((MAX(0,$B31-$C$14-$B31*$B$102/100-$C$102)/(1+$D$102/100))*(1-$E$102/100))*(1-$C$16/100)/12*$G$12)+INDEX($E$108:$E$110,MATCH($A31,$D$105:$D$107,0)))/($G$12+$B$106))</f>
        <v>3294.651103448276</v>
      </c>
      <c r="G31" s="53" t="str">
        <f>IF(AND(COUNTIF(H31:J31,"Micro-entreprise")&gt;0,($C$12*$C$13*INDEX($E$105:$E$107,MATCH($A31,$D$105:$D$107,0))*(1-$C$15/100))&gt;$C$17),"Micro non maintenable à terme","" )</f>
        <v>Micro non maintenable à terme</v>
      </c>
      <c r="H31" s="23" t="str">
        <f>INDEX($C$28:$F$28,MATCH(MAX(C31:F31),C31:F31,0))</f>
        <v>Micro-entreprise</v>
      </c>
      <c r="I31" s="23" t="str">
        <f>INDEX($C$28:$F$28,MATCH(1,INDEX((C31:F31=LARGE(C31:F31,2))*(COUNTIF($H31:H31,$C$28:$F$28)=0),0),0))</f>
        <v>EURL</v>
      </c>
      <c r="J31" s="23" t="str">
        <f>INDEX($C$28:$F$28,MATCH(1,INDEX((C31:F31=LARGE(C31:F31,3))*(COUNTIF($H31:I31,$C$28:$F$28)=0),0),0))</f>
        <v>Portage salarial</v>
      </c>
    </row>
    <row r="32" spans="1:10" x14ac:dyDescent="0.2">
      <c r="B32" s="26"/>
      <c r="C32" s="26"/>
      <c r="D32" s="26"/>
      <c r="E32" s="26"/>
      <c r="F32" s="26"/>
    </row>
    <row r="33" spans="1:10" x14ac:dyDescent="0.2">
      <c r="A33" s="20" t="str">
        <f>+"Cas 3 - Revenu net moyen avec indmenité ARE de "&amp;G14&amp;" mois"</f>
        <v>Cas 3 - Revenu net moyen avec indmenité ARE de 12 mois</v>
      </c>
    </row>
    <row r="34" spans="1:10" x14ac:dyDescent="0.2">
      <c r="A34" s="55" t="s">
        <v>45</v>
      </c>
      <c r="B34" s="55" t="s">
        <v>46</v>
      </c>
      <c r="C34" s="55" t="s">
        <v>47</v>
      </c>
      <c r="D34" s="55" t="s">
        <v>48</v>
      </c>
      <c r="E34" s="55" t="s">
        <v>49</v>
      </c>
      <c r="F34" s="55" t="s">
        <v>50</v>
      </c>
      <c r="G34" s="55" t="s">
        <v>51</v>
      </c>
      <c r="H34" s="55" t="s">
        <v>26</v>
      </c>
      <c r="I34" s="55" t="s">
        <v>28</v>
      </c>
      <c r="J34" s="55" t="s">
        <v>30</v>
      </c>
    </row>
    <row r="35" spans="1:10" x14ac:dyDescent="0.2">
      <c r="A35" s="21" t="s">
        <v>52</v>
      </c>
      <c r="B35" s="22">
        <f>$C$12*$C$13*INDEX($E$105:$E$107,MATCH($A35,$D$105:$D$107,0))*(1-$C$15/100)</f>
        <v>76230</v>
      </c>
      <c r="C35" s="22">
        <f t="shared" ref="C35:F37" si="2">IF(($G$12+$B$107)=0,0,((((IF(C$34="Micro-entreprise",(MAX(0,($C$12*$C$13*INDEX($E$105:$E$107,MATCH($A35,$D$105:$D$107,0))*(1-$C$15/100))-$C$14-($C$12*$C$13*INDEX($E$105:$E$107,MATCH($A35,$D$105:$D$107,0))*(1-$C$15/100))*INDEX($B$99:$B$102,MATCH(C$34,$A$99:$A$102,0))/100-INDEX($C$99:$C$102,MATCH(C$34,$A$99:$A$102,0))))*(1-INDEX($D$99:$D$102,MATCH(C$34,$A$99:$A$102,0))/100),((MAX(0,($C$12*$C$13*INDEX($E$105:$E$107,MATCH($A35,$D$105:$D$107,0))*(1-$C$15/100))-$C$14-($C$12*$C$13*INDEX($E$105:$E$107,MATCH($A35,$D$105:$D$107,0))*(1-$C$15/100))*INDEX($B$99:$B$102,MATCH(C$34,$A$99:$A$102,0))/100-INDEX($C$99:$C$102,MATCH(C$34,$A$99:$A$102,0))))/(1+INDEX($D$99:$D$102,MATCH(C$34,$A$99:$A$102,0))/100))*(1-INDEX($E$99:$E$102,MATCH(C$34,$A$99:$A$102,0))/100)))*(1-$C$16/100))/12*$G$12)+(IF(C$34="Portage salarial",((MAX(0,($C$12*$C$13*INDEX($E$105:$E$107,MATCH($A35,$D$105:$D$107,0))*(1-$C$15/100))-$C$14-($C$12*$C$13*INDEX($E$105:$E$107,MATCH($A35,$D$105:$D$107,0))*(1-$C$15/100))*INDEX($B$99:$B$102,MATCH(C$34,$A$99:$A$102,0))/100-INDEX($C$99:$C$102,MATCH(C$34,$A$99:$A$102,0))))/(1+INDEX($D$99:$D$102,MATCH(C$34,$A$99:$A$102,0))/100))/12*0.57,0)*$B$107))/($G$12+$B$107))</f>
        <v>2159.0383999999999</v>
      </c>
      <c r="D35" s="22">
        <f t="shared" si="2"/>
        <v>1943.0957854406131</v>
      </c>
      <c r="E35" s="22">
        <f t="shared" si="2"/>
        <v>1515.6147126436781</v>
      </c>
      <c r="F35" s="22">
        <f>IF(($G$12+$B$107)=0,0,((((MAX(0,$B35-$C$14-$B35*$B$102/100-$C$102)/(1+$D$102/100))*(1-$E$102/100))*(1-$C$16/100)/12*$G$12)+INDEX($F$108:$F$110,MATCH($A35,$D$105:$D$107,0)))/($G$12+$B$107))</f>
        <v>2233.7992068965523</v>
      </c>
      <c r="G35" s="53" t="str">
        <f>IF(AND(COUNTIF(H35:J35,"Micro-entreprise")&gt;0,($C$12*$C$13*INDEX($E$105:$E$107,MATCH($A35,$D$105:$D$107,0))*(1-$C$15/100))&gt;$C$17),"Micro non maintenable à terme","" )</f>
        <v/>
      </c>
      <c r="H35" s="23" t="str">
        <f>INDEX($C$34:$F$34,MATCH(MAX(C35:F35),C35:F35,0))</f>
        <v>Portage salarial</v>
      </c>
      <c r="I35" s="23" t="str">
        <f>INDEX($C$34:$F$34,MATCH(1,INDEX((C35:F35=LARGE(C35:F35,2))*(COUNTIF($H35:H35,$C$34:$F$34)=0),0),0))</f>
        <v>Micro-entreprise</v>
      </c>
      <c r="J35" s="23" t="str">
        <f>INDEX($C$34:$F$34,MATCH(1,INDEX((C35:F35=LARGE(C35:F35,3))*(COUNTIF($H35:I35,$C$34:$F$34)=0),0),0))</f>
        <v>EURL</v>
      </c>
    </row>
    <row r="36" spans="1:10" x14ac:dyDescent="0.2">
      <c r="A36" s="24" t="s">
        <v>53</v>
      </c>
      <c r="B36" s="22">
        <f>$C$12*$C$13*INDEX($E$105:$E$107,MATCH($A36,$D$105:$D$107,0))*(1-$C$15/100)</f>
        <v>92565</v>
      </c>
      <c r="C36" s="22">
        <f t="shared" si="2"/>
        <v>2672.1751999999997</v>
      </c>
      <c r="D36" s="22">
        <f t="shared" si="2"/>
        <v>2418.7509578544064</v>
      </c>
      <c r="E36" s="22">
        <f t="shared" si="2"/>
        <v>1886.6257471264371</v>
      </c>
      <c r="F36" s="22">
        <f>IF(($G$12+$B$107)=0,0,((((MAX(0,$B36-$C$14-$B36*$B$102/100-$C$102)/(1+$D$102/100))*(1-$E$102/100))*(1-$C$16/100)/12*$G$12)+INDEX($F$108:$F$110,MATCH($A36,$D$105:$D$107,0)))/($G$12+$B$107))</f>
        <v>2755.711844827586</v>
      </c>
      <c r="G36" s="53" t="str">
        <f>IF(AND(COUNTIF(H36:J36,"Micro-entreprise")&gt;0,($C$12*$C$13*INDEX($E$105:$E$107,MATCH($A36,$D$105:$D$107,0))*(1-$C$15/100))&gt;$C$17),"Micro non maintenable à terme","" )</f>
        <v>Micro non maintenable à terme</v>
      </c>
      <c r="H36" s="23" t="str">
        <f>INDEX($C$34:$F$34,MATCH(MAX(C36:F36),C36:F36,0))</f>
        <v>Portage salarial</v>
      </c>
      <c r="I36" s="23" t="str">
        <f>INDEX($C$34:$F$34,MATCH(1,INDEX((C36:F36=LARGE(C36:F36,2))*(COUNTIF($H36:H36,$C$34:$F$34)=0),0),0))</f>
        <v>Micro-entreprise</v>
      </c>
      <c r="J36" s="23" t="str">
        <f>INDEX($C$34:$F$34,MATCH(1,INDEX((C36:F36=LARGE(C36:F36,3))*(COUNTIF($H36:I36,$C$34:$F$34)=0),0),0))</f>
        <v>EURL</v>
      </c>
    </row>
    <row r="37" spans="1:10" x14ac:dyDescent="0.2">
      <c r="A37" s="25" t="s">
        <v>54</v>
      </c>
      <c r="B37" s="22">
        <f>$C$12*$C$13*INDEX($E$105:$E$107,MATCH($A37,$D$105:$D$107,0))*(1-$C$15/100)</f>
        <v>108900</v>
      </c>
      <c r="C37" s="22">
        <f t="shared" si="2"/>
        <v>3185.3119999999999</v>
      </c>
      <c r="D37" s="22">
        <f t="shared" si="2"/>
        <v>2894.4061302681998</v>
      </c>
      <c r="E37" s="22">
        <f t="shared" si="2"/>
        <v>2257.6367816091961</v>
      </c>
      <c r="F37" s="22">
        <f>IF(($G$12+$B$107)=0,0,((((MAX(0,$B37-$C$14-$B37*$B$102/100-$C$102)/(1+$D$102/100))*(1-$E$102/100))*(1-$C$16/100)/12*$G$12)+INDEX($F$108:$F$110,MATCH($A37,$D$105:$D$107,0)))/($G$12+$B$107))</f>
        <v>3277.6244827586206</v>
      </c>
      <c r="G37" s="53" t="str">
        <f>IF(AND(COUNTIF(H37:J37,"Micro-entreprise")&gt;0,($C$12*$C$13*INDEX($E$105:$E$107,MATCH($A37,$D$105:$D$107,0))*(1-$C$15/100))&gt;$C$17),"Micro non maintenable à terme","" )</f>
        <v>Micro non maintenable à terme</v>
      </c>
      <c r="H37" s="23" t="str">
        <f>INDEX($C$34:$F$34,MATCH(MAX(C37:F37),C37:F37,0))</f>
        <v>Portage salarial</v>
      </c>
      <c r="I37" s="23" t="str">
        <f>INDEX($C$34:$F$34,MATCH(1,INDEX((C37:F37=LARGE(C37:F37,2))*(COUNTIF($H37:H37,$C$34:$F$34)=0),0),0))</f>
        <v>Micro-entreprise</v>
      </c>
      <c r="J37" s="23" t="str">
        <f>INDEX($C$34:$F$34,MATCH(1,INDEX((C37:F37=LARGE(C37:F37,3))*(COUNTIF($H37:I37,$C$34:$F$34)=0),0),0))</f>
        <v>EURL</v>
      </c>
    </row>
    <row r="40" spans="1:10" ht="20" x14ac:dyDescent="0.2">
      <c r="A40" s="49" t="s">
        <v>55</v>
      </c>
      <c r="B40" s="4"/>
      <c r="C40" s="4"/>
      <c r="D40" s="4"/>
      <c r="E40" s="4"/>
      <c r="F40" s="4"/>
      <c r="G40" s="4"/>
      <c r="H40" s="4"/>
      <c r="I40" s="4"/>
      <c r="J40" s="4"/>
    </row>
    <row r="41" spans="1:10" ht="15" thickBot="1" x14ac:dyDescent="0.25"/>
    <row r="42" spans="1:10" ht="16" x14ac:dyDescent="0.2">
      <c r="A42" s="68" t="s">
        <v>73</v>
      </c>
      <c r="B42" s="29"/>
      <c r="C42" s="50"/>
      <c r="D42" s="54" t="s">
        <v>11</v>
      </c>
      <c r="H42" s="56" t="s">
        <v>85</v>
      </c>
      <c r="I42" s="57"/>
      <c r="J42" s="58"/>
    </row>
    <row r="43" spans="1:10" ht="15" customHeight="1" thickBot="1" x14ac:dyDescent="0.25">
      <c r="A43" s="52" t="s">
        <v>74</v>
      </c>
      <c r="B43" s="52"/>
      <c r="C43" s="52"/>
      <c r="D43" s="52"/>
      <c r="H43" s="59"/>
      <c r="I43" s="60"/>
      <c r="J43" s="61"/>
    </row>
    <row r="44" spans="1:10" ht="33" customHeight="1" x14ac:dyDescent="0.15">
      <c r="E44" s="27"/>
      <c r="F44" s="27"/>
      <c r="H44" s="43" t="str">
        <f>'Analyse non financière'!B27</f>
        <v>EURL/SASU</v>
      </c>
      <c r="I44" s="44" t="str">
        <f>'Analyse non financière'!C27</f>
        <v>Portage Salarial</v>
      </c>
      <c r="J44" s="45" t="str">
        <f>'Analyse non financière'!D27</f>
        <v>Micro-Entreprise</v>
      </c>
    </row>
    <row r="45" spans="1:10" ht="60" customHeight="1" x14ac:dyDescent="0.2">
      <c r="A45" s="41" t="s">
        <v>4</v>
      </c>
      <c r="B45" s="65" t="s">
        <v>5</v>
      </c>
      <c r="C45" s="63"/>
      <c r="D45" s="64"/>
      <c r="E45" s="42" t="s">
        <v>56</v>
      </c>
      <c r="F45" s="51" t="s">
        <v>57</v>
      </c>
      <c r="H45" s="33"/>
      <c r="I45" s="34"/>
      <c r="J45" s="35"/>
    </row>
    <row r="46" spans="1:10" ht="15" customHeight="1" x14ac:dyDescent="0.2">
      <c r="A46" s="31">
        <v>1</v>
      </c>
      <c r="B46" s="62" t="str">
        <f>'Analyse non financière'!B11</f>
        <v>Besoin sécurité revenu et droits chômage</v>
      </c>
      <c r="C46" s="63"/>
      <c r="D46" s="64"/>
      <c r="E46" s="32">
        <f>'Analyse non financière'!C11</f>
        <v>5</v>
      </c>
      <c r="F46" s="14">
        <v>3</v>
      </c>
      <c r="H46" s="36"/>
      <c r="J46" s="37"/>
    </row>
    <row r="47" spans="1:10" ht="15" customHeight="1" x14ac:dyDescent="0.2">
      <c r="A47" s="31">
        <v>2</v>
      </c>
      <c r="B47" s="62" t="str">
        <f>'Analyse non financière'!B12</f>
        <v>Tolérance charge administrative et pilotage</v>
      </c>
      <c r="C47" s="63"/>
      <c r="D47" s="64"/>
      <c r="E47" s="32">
        <f>'Analyse non financière'!C12</f>
        <v>2</v>
      </c>
      <c r="F47" s="14">
        <v>3</v>
      </c>
      <c r="H47" s="36"/>
      <c r="J47" s="37"/>
    </row>
    <row r="48" spans="1:10" ht="15" customHeight="1" x14ac:dyDescent="0.2">
      <c r="A48" s="31">
        <v>3</v>
      </c>
      <c r="B48" s="62" t="str">
        <f>'Analyse non financière'!B13</f>
        <v>CA anticipé régulièrement &gt; 90k</v>
      </c>
      <c r="C48" s="63"/>
      <c r="D48" s="64"/>
      <c r="E48" s="32">
        <f>'Analyse non financière'!C13</f>
        <v>3</v>
      </c>
      <c r="F48" s="14">
        <v>3</v>
      </c>
      <c r="H48" s="36"/>
      <c r="J48" s="37"/>
    </row>
    <row r="49" spans="1:10" ht="15" customHeight="1" x14ac:dyDescent="0.2">
      <c r="A49" s="31">
        <v>4</v>
      </c>
      <c r="B49" s="62" t="str">
        <f>'Analyse non financière'!B14</f>
        <v>Besoin lisibilité bancaire (immo/location)</v>
      </c>
      <c r="C49" s="63"/>
      <c r="D49" s="64"/>
      <c r="E49" s="32">
        <f>'Analyse non financière'!C14</f>
        <v>4</v>
      </c>
      <c r="F49" s="14">
        <v>3</v>
      </c>
      <c r="H49" s="36"/>
      <c r="J49" s="37"/>
    </row>
    <row r="50" spans="1:10" ht="15" customHeight="1" x14ac:dyDescent="0.2">
      <c r="A50" s="31">
        <v>5</v>
      </c>
      <c r="B50" s="62" t="str">
        <f>'Analyse non financière'!B15</f>
        <v>Volonté cadre simple court terme</v>
      </c>
      <c r="C50" s="63"/>
      <c r="D50" s="64"/>
      <c r="E50" s="32">
        <f>'Analyse non financière'!C15</f>
        <v>2</v>
      </c>
      <c r="F50" s="14">
        <v>3</v>
      </c>
      <c r="H50" s="36"/>
      <c r="J50" s="37"/>
    </row>
    <row r="51" spans="1:10" ht="15" customHeight="1" x14ac:dyDescent="0.2">
      <c r="A51" s="31">
        <v>6</v>
      </c>
      <c r="B51" s="62" t="str">
        <f>'Analyse non financière'!B16</f>
        <v>Volonté construire structure long terme</v>
      </c>
      <c r="C51" s="63"/>
      <c r="D51" s="64"/>
      <c r="E51" s="32">
        <f>'Analyse non financière'!C16</f>
        <v>3</v>
      </c>
      <c r="F51" s="14">
        <v>3</v>
      </c>
      <c r="H51" s="36"/>
      <c r="J51" s="37"/>
    </row>
    <row r="52" spans="1:10" ht="15" customHeight="1" x14ac:dyDescent="0.2">
      <c r="A52" s="31">
        <v>7</v>
      </c>
      <c r="B52" s="62" t="str">
        <f>'Analyse non financière'!B17</f>
        <v>Besoin flexibilité missions longues/courtes</v>
      </c>
      <c r="C52" s="63"/>
      <c r="D52" s="64"/>
      <c r="E52" s="32">
        <f>'Analyse non financière'!C17</f>
        <v>3</v>
      </c>
      <c r="F52" s="14">
        <v>3</v>
      </c>
      <c r="H52" s="36"/>
      <c r="J52" s="37"/>
    </row>
    <row r="53" spans="1:10" ht="15" customHeight="1" x14ac:dyDescent="0.2">
      <c r="A53" s="31">
        <v>8</v>
      </c>
      <c r="B53" s="62" t="str">
        <f>'Analyse non financière'!B18</f>
        <v>Sensibilité risque juridique/contractuel</v>
      </c>
      <c r="C53" s="63"/>
      <c r="D53" s="64"/>
      <c r="E53" s="32">
        <f>'Analyse non financière'!C18</f>
        <v>5</v>
      </c>
      <c r="F53" s="14">
        <v>3</v>
      </c>
      <c r="H53" s="33"/>
      <c r="I53" s="34"/>
      <c r="J53" s="35"/>
    </row>
    <row r="54" spans="1:10" ht="16" customHeight="1" thickBot="1" x14ac:dyDescent="0.25">
      <c r="A54" s="31">
        <v>9</v>
      </c>
      <c r="B54" s="62" t="str">
        <f>'Analyse non financière'!B19</f>
        <v>Disponibilité mentale gestion</v>
      </c>
      <c r="C54" s="63"/>
      <c r="D54" s="64"/>
      <c r="E54" s="32">
        <f>'Analyse non financière'!C19</f>
        <v>2</v>
      </c>
      <c r="F54" s="14">
        <v>3</v>
      </c>
      <c r="H54" s="38"/>
      <c r="I54" s="39"/>
      <c r="J54" s="40"/>
    </row>
    <row r="57" spans="1:10" ht="20" x14ac:dyDescent="0.2">
      <c r="A57" s="49" t="s">
        <v>58</v>
      </c>
      <c r="B57" s="4"/>
      <c r="C57" s="4"/>
      <c r="D57" s="4"/>
      <c r="E57" s="4"/>
      <c r="F57" s="4"/>
      <c r="G57" s="4"/>
      <c r="H57" s="4"/>
      <c r="I57" s="4"/>
      <c r="J57" s="4"/>
    </row>
    <row r="59" spans="1:10" ht="17" customHeight="1" x14ac:dyDescent="0.2">
      <c r="A59" s="47" t="str">
        <f>"Selon vos paramètres financiers, le statut préconisé le plus souvent en période d'activité est "&amp;IF(D121=MAX(D121:G121),D120,IF(E121=MAX(D121:G121),E120,IF(F121=MAX(D121:G121),F120,G120)))&amp;"."&amp;IF(H121=1,"Toutefois vous pourriez rapidement devoir changer de régime.","")</f>
        <v>Selon vos paramètres financiers, le statut préconisé le plus souvent en période d'activité est Micro-Entreprise.Toutefois vous pourriez rapidement devoir changer de régime.</v>
      </c>
    </row>
    <row r="60" spans="1:10" ht="17" customHeight="1" x14ac:dyDescent="0.2">
      <c r="A60" s="47" t="str">
        <f>"Le second statut le plus intéressant est "&amp;I23&amp;"."&amp;IF(I23&lt;&gt;"Portage salarial"," Toutefois ce statut n'offre pas de couverture chômage","")</f>
        <v>Le second statut le plus intéressant est EURL. Toutefois ce statut n'offre pas de couverture chômage</v>
      </c>
    </row>
    <row r="61" spans="1:10" ht="12" customHeight="1" x14ac:dyDescent="0.2">
      <c r="A61" s="47"/>
    </row>
    <row r="62" spans="1:10" ht="17" customHeight="1" x14ac:dyDescent="0.2">
      <c r="A62" s="47" t="str">
        <f>"Dans l'hypothèse d'une courte période d'inactivité selon vos paramètres le statut le plus intéressant est "&amp;IF(D122=MAX(D122:G122),D120,IF(E122=MAX(D122:G122),E120,IF(F122=MAX(D122:G122),F120,G120)))&amp;"."&amp;IF(H122=1,"Toutefois vous pourriez rapidement devoir changer de régime.","")</f>
        <v>Dans l'hypothèse d'une courte période d'inactivité selon vos paramètres le statut le plus intéressant est Micro-Entreprise.Toutefois vous pourriez rapidement devoir changer de régime.</v>
      </c>
    </row>
    <row r="63" spans="1:10" ht="17" customHeight="1" x14ac:dyDescent="0.2">
      <c r="A63" s="47" t="str">
        <f>"Le second statut le plus intéressant est "&amp;I29&amp;"."&amp;IF(I29&lt;&gt;"Portage salarial"," Toutefois ce statut n'offre pas de couverture chômage","")</f>
        <v>Le second statut le plus intéressant est EURL. Toutefois ce statut n'offre pas de couverture chômage</v>
      </c>
    </row>
    <row r="64" spans="1:10" ht="12" customHeight="1" x14ac:dyDescent="0.2">
      <c r="A64" s="47"/>
    </row>
    <row r="65" spans="1:1" ht="17" customHeight="1" x14ac:dyDescent="0.2">
      <c r="A65" s="47" t="str">
        <f>"Dans l'hypothèse d'une plus longue période d'inactivité selon vos paramètres le statut le plus intéressant est "&amp;IF(D123=MAX(D123:G123),D120,IF(E123=MAX(D123:G123),E120,IF(F123=MAX(D123:G123),F120,G120)))&amp;"."&amp;IF(H123=1,"Toutefois vous pourriez rapidement devoir changer de régime.","")</f>
        <v>Dans l'hypothèse d'une plus longue période d'inactivité selon vos paramètres le statut le plus intéressant est Portage salarial.</v>
      </c>
    </row>
    <row r="66" spans="1:1" ht="17" customHeight="1" x14ac:dyDescent="0.2">
      <c r="A66" s="47" t="str">
        <f>"Le second statut le plus intéressant est "&amp;I35&amp;"."&amp;IF(I35&lt;&gt;"Portage salarial"," Toutefois ce statut n'offre pas de couverture chômage","")</f>
        <v>Le second statut le plus intéressant est Micro-entreprise. Toutefois ce statut n'offre pas de couverture chômage</v>
      </c>
    </row>
    <row r="67" spans="1:1" ht="12" customHeight="1" x14ac:dyDescent="0.2"/>
    <row r="68" spans="1:1" ht="17" customHeight="1" x14ac:dyDescent="0.2">
      <c r="A68" s="47" t="str">
        <f>"Selon les paramètres que vous avez définis dans votre profil, si vous avez choisi le profil personnalisé, les deux status les plus intéressant sont "&amp;I44&amp;" et "&amp;H44&amp;"."</f>
        <v>Selon les paramètres que vous avez définis dans votre profil, si vous avez choisi le profil personnalisé, les deux status les plus intéressant sont Portage Salarial et EURL/SASU.</v>
      </c>
    </row>
    <row r="70" spans="1:1" x14ac:dyDescent="0.2">
      <c r="A70" s="47" t="s">
        <v>78</v>
      </c>
    </row>
    <row r="71" spans="1:1" x14ac:dyDescent="0.2">
      <c r="A71" s="47" t="s">
        <v>79</v>
      </c>
    </row>
    <row r="72" spans="1:1" x14ac:dyDescent="0.2">
      <c r="A72" s="47" t="s">
        <v>80</v>
      </c>
    </row>
    <row r="73" spans="1:1" x14ac:dyDescent="0.2">
      <c r="A73" s="47" t="s">
        <v>81</v>
      </c>
    </row>
    <row r="75" spans="1:1" x14ac:dyDescent="0.2">
      <c r="A75" s="47" t="s">
        <v>82</v>
      </c>
    </row>
    <row r="76" spans="1:1" x14ac:dyDescent="0.2">
      <c r="A76" s="47" t="s">
        <v>83</v>
      </c>
    </row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1:5" hidden="1" x14ac:dyDescent="0.2"/>
    <row r="98" spans="1:5" hidden="1" x14ac:dyDescent="0.2">
      <c r="A98" s="3" t="s">
        <v>59</v>
      </c>
      <c r="B98" s="3" t="s">
        <v>60</v>
      </c>
      <c r="C98" s="3" t="s">
        <v>61</v>
      </c>
      <c r="D98" s="3" t="s">
        <v>62</v>
      </c>
      <c r="E98" s="3" t="s">
        <v>63</v>
      </c>
    </row>
    <row r="99" spans="1:5" hidden="1" x14ac:dyDescent="0.2">
      <c r="A99" s="3" t="s">
        <v>47</v>
      </c>
      <c r="B99" s="3">
        <v>0</v>
      </c>
      <c r="C99" s="28">
        <v>1500</v>
      </c>
      <c r="D99" s="3">
        <v>25.6</v>
      </c>
      <c r="E99" s="3">
        <v>0</v>
      </c>
    </row>
    <row r="100" spans="1:5" hidden="1" x14ac:dyDescent="0.2">
      <c r="A100" s="3" t="s">
        <v>48</v>
      </c>
      <c r="B100" s="3">
        <v>0</v>
      </c>
      <c r="C100" s="28">
        <v>3500</v>
      </c>
      <c r="D100" s="3">
        <v>45</v>
      </c>
      <c r="E100" s="3">
        <v>0</v>
      </c>
    </row>
    <row r="101" spans="1:5" hidden="1" x14ac:dyDescent="0.2">
      <c r="A101" s="3" t="s">
        <v>49</v>
      </c>
      <c r="B101" s="3">
        <v>0</v>
      </c>
      <c r="C101" s="28">
        <v>3500</v>
      </c>
      <c r="D101" s="3">
        <v>45</v>
      </c>
      <c r="E101" s="3">
        <v>22</v>
      </c>
    </row>
    <row r="102" spans="1:5" hidden="1" x14ac:dyDescent="0.2">
      <c r="A102" s="3" t="s">
        <v>50</v>
      </c>
      <c r="B102" s="3">
        <f>G18</f>
        <v>5</v>
      </c>
      <c r="C102" s="3">
        <v>0</v>
      </c>
      <c r="D102" s="3">
        <v>45</v>
      </c>
      <c r="E102" s="3">
        <v>22</v>
      </c>
    </row>
    <row r="103" spans="1:5" hidden="1" x14ac:dyDescent="0.2"/>
    <row r="104" spans="1:5" hidden="1" x14ac:dyDescent="0.2">
      <c r="A104" s="3" t="s">
        <v>64</v>
      </c>
      <c r="B104" s="3">
        <f>IF(G17="RC",IF(G16&lt;55,15,20.5),IF(G16&lt;55,18,IF(G16&lt;57,22.5,27)))</f>
        <v>18</v>
      </c>
      <c r="D104" s="3" t="s">
        <v>45</v>
      </c>
      <c r="E104" s="3" t="s">
        <v>65</v>
      </c>
    </row>
    <row r="105" spans="1:5" hidden="1" x14ac:dyDescent="0.2">
      <c r="A105" s="3" t="s">
        <v>66</v>
      </c>
      <c r="B105" s="3">
        <f>IF(G12&lt;G15,0,MIN(G12,B104))</f>
        <v>18</v>
      </c>
      <c r="D105" s="3" t="s">
        <v>52</v>
      </c>
      <c r="E105" s="3">
        <v>0.7</v>
      </c>
    </row>
    <row r="106" spans="1:5" hidden="1" x14ac:dyDescent="0.2">
      <c r="A106" s="3" t="s">
        <v>67</v>
      </c>
      <c r="B106" s="3">
        <f>MIN(G13,B105)</f>
        <v>6</v>
      </c>
      <c r="D106" s="3" t="s">
        <v>53</v>
      </c>
      <c r="E106" s="3">
        <v>0.85</v>
      </c>
    </row>
    <row r="107" spans="1:5" hidden="1" x14ac:dyDescent="0.2">
      <c r="A107" s="3" t="s">
        <v>68</v>
      </c>
      <c r="B107" s="3">
        <f>MIN(G14,B105)</f>
        <v>12</v>
      </c>
      <c r="D107" s="3" t="s">
        <v>54</v>
      </c>
      <c r="E107" s="3">
        <v>1</v>
      </c>
    </row>
    <row r="108" spans="1:6" hidden="1" x14ac:dyDescent="0.2">
      <c r="B108" s="3">
        <f>MAX(0,$C$12*$C$13*$E$105*(1-$C$15/100)-$C$14-($C$12*$C$13*$E$105*(1-$C$15/100))*$B$102/100-$C$102)/(1+$D$102/100)/12</f>
        <v>0</v>
      </c>
      <c r="C108" s="3">
        <f>B108*0.57</f>
        <v>0</v>
      </c>
      <c r="D108" s="3">
        <f>IF(AND($G$16&lt;55,B108&gt;4939.67),MAX(C108*0.7,2777.1),C108)</f>
        <v>0</v>
      </c>
      <c r="E108" s="3">
        <f>C108*MIN($B$106,6)+D108*MAX($B$106-6,0)</f>
        <v>0</v>
      </c>
      <c r="F108" s="3">
        <f>C108*MIN($B$107,6)+D108*MAX($B$107-6,0)</f>
        <v>0</v>
      </c>
    </row>
    <row r="109" spans="1:6" hidden="1" x14ac:dyDescent="0.2">
      <c r="B109" s="3">
        <f>MAX(0,$C$12*$C$13*$E$106*(1-$C$15/100)-$C$14-($C$12*$C$13*$E$106*(1-$C$15/100))*$B$102/100-$C$102)/(1+$D$102/100)/12</f>
        <v>0</v>
      </c>
      <c r="C109" s="3">
        <f>B109*0.57</f>
        <v>0</v>
      </c>
      <c r="D109" s="3">
        <f>IF(AND($G$16&lt;55,B109&gt;4939.67),MAX(C109*0.7,2777.1),C109)</f>
        <v>0</v>
      </c>
      <c r="E109" s="3">
        <f>C109*MIN($B$106,6)+D109*MAX($B$106-6,0)</f>
        <v>0</v>
      </c>
      <c r="F109" s="3">
        <f>C109*MIN($B$107,6)+D109*MAX($B$107-6,0)</f>
        <v>0</v>
      </c>
    </row>
    <row r="110" spans="1:6" hidden="1" x14ac:dyDescent="0.2">
      <c r="A110" s="3" t="s">
        <v>69</v>
      </c>
      <c r="B110" s="3">
        <f>MAX(0,$C$12*$C$13*$E$107*(1-$C$15/100)-$C$14-($C$12*$C$13*$E$107*(1-$C$15/100))*$B$102/100-$C$102)/(1+$D$102/100)/12</f>
        <v>0</v>
      </c>
      <c r="C110" s="3">
        <f>B110*0.57</f>
        <v>0</v>
      </c>
      <c r="D110" s="3">
        <f>IF(AND($G$16&lt;55,B110&gt;4939.67),MAX(C110*0.7,2777.1),C110)</f>
        <v>0</v>
      </c>
      <c r="E110" s="3">
        <f>C110*MIN($B$106,6)+D110*MAX($B$106-6,0)</f>
        <v>0</v>
      </c>
      <c r="F110" s="3">
        <f>C110*MIN($B$107,6)+D110*MAX($B$107-6,0)</f>
        <v>0</v>
      </c>
    </row>
    <row r="111" spans="1:5" hidden="1" x14ac:dyDescent="0.2">
      <c r="A111" s="3" t="s">
        <v>11</v>
      </c>
    </row>
    <row r="112" spans="1:5" hidden="1" x14ac:dyDescent="0.2">
      <c r="A112" s="3" t="s">
        <v>12</v>
      </c>
    </row>
    <row r="113" spans="1:8" hidden="1" x14ac:dyDescent="0.2">
      <c r="A113" s="3" t="s">
        <v>70</v>
      </c>
    </row>
    <row r="114" spans="1:8" hidden="1" x14ac:dyDescent="0.2">
      <c r="A114" s="3" t="s">
        <v>71</v>
      </c>
    </row>
    <row r="115" spans="1:8" hidden="1" x14ac:dyDescent="0.2"/>
    <row r="116" spans="1:8" hidden="1" x14ac:dyDescent="0.2"/>
    <row r="117" spans="1:8" hidden="1" x14ac:dyDescent="0.2"/>
    <row r="118" spans="1:8" hidden="1" x14ac:dyDescent="0.2"/>
    <row r="119" spans="1:8" hidden="1" x14ac:dyDescent="0.2"/>
    <row r="120" spans="1:8" hidden="1" x14ac:dyDescent="0.2">
      <c r="D120" s="3" t="s">
        <v>25</v>
      </c>
      <c r="E120" s="3" t="s">
        <v>49</v>
      </c>
      <c r="F120" s="3" t="s">
        <v>48</v>
      </c>
      <c r="G120" s="3" t="s">
        <v>50</v>
      </c>
    </row>
    <row r="121" spans="1:8" hidden="1" x14ac:dyDescent="0.2">
      <c r="A121" s="20" t="s">
        <v>44</v>
      </c>
      <c r="D121" s="3">
        <f>COUNTIFS($H23:$H25,D$120)</f>
        <v>3</v>
      </c>
      <c r="E121" s="3">
        <f>COUNTIFS($H23:$H25,E$120)</f>
        <v>0</v>
      </c>
      <c r="F121" s="3">
        <f>COUNTIFS($H23:$H25,F$120)</f>
        <v>0</v>
      </c>
      <c r="G121" s="3">
        <f>COUNTIFS($H23:$H25,G$120)</f>
        <v>0</v>
      </c>
      <c r="H121" s="3">
        <f>IF(D121=MAX(D121:G121),IF(OR(G23&lt;&gt;"",G24&lt;&gt;"",G25&lt;&gt;""),1,),)</f>
        <v>1</v>
      </c>
    </row>
    <row r="122" spans="1:8" hidden="1" x14ac:dyDescent="0.2">
      <c r="A122" s="20" t="str">
        <f>+"Cas 2 - Revenu net moyen avec indmenité ARE de "&amp;G109&amp;" mois"</f>
        <v>Cas 2 - Revenu net moyen avec indmenité ARE de  mois</v>
      </c>
      <c r="D122" s="3">
        <f>COUNTIFS($H29:$H31,D$120)</f>
        <v>3</v>
      </c>
      <c r="E122" s="3">
        <f>COUNTIFS($H29:$H31,E$120)</f>
        <v>0</v>
      </c>
      <c r="F122" s="3">
        <f>COUNTIFS($H29:$H31,F$120)</f>
        <v>0</v>
      </c>
      <c r="G122" s="3">
        <f>COUNTIFS($H29:$H31,G$120)</f>
        <v>0</v>
      </c>
      <c r="H122" s="3">
        <f>IF(D122=MAX(D122:G122),IF(OR(G29&lt;&gt;"",G30&lt;&gt;"",G31&lt;&gt;""),1,),)</f>
        <v>1</v>
      </c>
    </row>
    <row r="123" spans="1:8" hidden="1" x14ac:dyDescent="0.2">
      <c r="A123" s="20" t="str">
        <f>+"Cas 3 - Revenu net moyen avec indmenité ARE de "&amp;G105&amp;" mois"</f>
        <v>Cas 3 - Revenu net moyen avec indmenité ARE de  mois</v>
      </c>
      <c r="D123" s="3">
        <f>COUNTIFS($H35:$H37,D$120)</f>
        <v>0</v>
      </c>
      <c r="E123" s="3">
        <f>COUNTIFS($H35:$H37,E$120)</f>
        <v>0</v>
      </c>
      <c r="F123" s="3">
        <f>COUNTIFS($H35:$H37,F$120)</f>
        <v>0</v>
      </c>
      <c r="G123" s="3">
        <f>COUNTIFS($H35:$H37,G$120)</f>
        <v>3</v>
      </c>
      <c r="H123" s="3">
        <f>IF(D123=MAX(D123:G123),IF(OR(G35&lt;&gt;"",G36&lt;&gt;"",G37&lt;&gt;""),1,),)</f>
        <v>0</v>
      </c>
    </row>
    <row r="124" spans="1:8" hidden="1" x14ac:dyDescent="0.2"/>
    <row r="125" spans="1:8" hidden="1" x14ac:dyDescent="0.2"/>
    <row r="126" spans="1:8" hidden="1" x14ac:dyDescent="0.2"/>
    <row r="127" spans="1:8" hidden="1" x14ac:dyDescent="0.2"/>
    <row r="128" spans="1: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</sheetData>
  <sheetProtection sheet="1" objects="1" scenarios="1"/>
  <mergeCells count="12">
    <mergeCell ref="H20:J21"/>
    <mergeCell ref="B53:D53"/>
    <mergeCell ref="B54:D54"/>
    <mergeCell ref="B48:D48"/>
    <mergeCell ref="B47:D47"/>
    <mergeCell ref="B51:D51"/>
    <mergeCell ref="B52:D52"/>
    <mergeCell ref="H42:J43"/>
    <mergeCell ref="B46:D46"/>
    <mergeCell ref="B49:D49"/>
    <mergeCell ref="B50:D50"/>
    <mergeCell ref="B45:D45"/>
  </mergeCells>
  <dataValidations count="5">
    <dataValidation type="list" errorTitle="Valeur invalide" error="Choisissez LIC ou RC." sqref="G17" xr:uid="{00000000-0002-0000-0000-000000000000}">
      <formula1>"LIC,RC"</formula1>
    </dataValidation>
    <dataValidation type="list" allowBlank="1" showInputMessage="1" showErrorMessage="1" sqref="D42" xr:uid="{00000000-0002-0000-0000-000001000000}">
      <formula1>"Personnalisé,Sécurité/Chômage,Simplicité/Rapidité,Croissance/CA élevé"</formula1>
    </dataValidation>
    <dataValidation type="decimal" allowBlank="1" showInputMessage="1" showErrorMessage="1" sqref="C12:C17" xr:uid="{8574FE01-AF61-0B4C-B975-ABDB04C4155F}">
      <formula1>0</formula1>
      <formula2>1000000</formula2>
    </dataValidation>
    <dataValidation type="decimal" allowBlank="1" showInputMessage="1" showErrorMessage="1" sqref="G12:G16" xr:uid="{F3ED1C07-DFF7-9841-80DF-7F4BB8915560}">
      <formula1>0</formula1>
      <formula2>100</formula2>
    </dataValidation>
    <dataValidation type="decimal" allowBlank="1" showInputMessage="1" showErrorMessage="1" sqref="G18:G19" xr:uid="{93416693-A825-AC4C-BAFD-B95159C143B2}">
      <formula1>2.5</formula1>
      <formula2>12</formula2>
    </dataValidation>
  </dataValidations>
  <pageMargins left="0.75" right="0.75" top="1" bottom="1" header="0.5" footer="0.5"/>
  <pageSetup paperSize="9" scale="62" fitToHeight="0" orientation="landscape" horizontalDpi="0" verticalDpi="0"/>
  <rowBreaks count="1" manualBreakCount="1">
    <brk id="3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D11" sqref="D11:D19"/>
    </sheetView>
  </sheetViews>
  <sheetFormatPr baseColWidth="10" defaultColWidth="8.83203125" defaultRowHeight="15" x14ac:dyDescent="0.2"/>
  <cols>
    <col min="1" max="1" width="48" style="1" customWidth="1"/>
    <col min="2" max="4" width="23.6640625" style="1" customWidth="1"/>
    <col min="5" max="7" width="16" style="1" customWidth="1"/>
    <col min="8" max="8" width="28" style="1" customWidth="1"/>
    <col min="9" max="9" width="18.33203125" style="1" bestFit="1" customWidth="1"/>
    <col min="10" max="10" width="13" style="1" customWidth="1"/>
    <col min="11" max="11" width="8.83203125" style="1" customWidth="1"/>
    <col min="12" max="16384" width="8.83203125" style="1"/>
  </cols>
  <sheetData>
    <row r="1" spans="1:10" x14ac:dyDescent="0.2">
      <c r="A1" s="1" t="s">
        <v>0</v>
      </c>
    </row>
    <row r="7" spans="1:10" x14ac:dyDescent="0.2">
      <c r="A7" s="1" t="s">
        <v>1</v>
      </c>
      <c r="B7" s="1" t="str">
        <f>Analyse!D42</f>
        <v>Sécurité/Chômage</v>
      </c>
    </row>
    <row r="8" spans="1:10" x14ac:dyDescent="0.2">
      <c r="A8" s="1" t="s">
        <v>2</v>
      </c>
      <c r="B8" s="1" t="s">
        <v>3</v>
      </c>
    </row>
    <row r="10" spans="1:10" x14ac:dyDescent="0.2">
      <c r="A10" s="1" t="s">
        <v>4</v>
      </c>
      <c r="B10" s="1" t="s">
        <v>5</v>
      </c>
      <c r="C10" s="1" t="s">
        <v>6</v>
      </c>
      <c r="D10" s="1" t="s">
        <v>7</v>
      </c>
      <c r="E10" s="1" t="s">
        <v>8</v>
      </c>
      <c r="F10" s="1" t="s">
        <v>9</v>
      </c>
      <c r="G10" s="1" t="s">
        <v>10</v>
      </c>
      <c r="H10" s="1" t="s">
        <v>11</v>
      </c>
      <c r="I10" s="1" t="s">
        <v>12</v>
      </c>
      <c r="J10" s="1" t="s">
        <v>13</v>
      </c>
    </row>
    <row r="11" spans="1:10" ht="32" customHeight="1" x14ac:dyDescent="0.2">
      <c r="A11" s="1">
        <v>1</v>
      </c>
      <c r="B11" s="2" t="s">
        <v>14</v>
      </c>
      <c r="C11" s="1">
        <f t="shared" ref="C11:C19" si="0">IF($B$7="Personnalisé",$D11,INDEX($H$11:$J$19,MATCH($A11,$A$11:$A$19,0),MATCH($B$7,$H$10:$J$10,0)))</f>
        <v>5</v>
      </c>
      <c r="D11" s="1">
        <f>Analyse!F46</f>
        <v>3</v>
      </c>
      <c r="E11" s="1">
        <v>-1</v>
      </c>
      <c r="F11" s="1">
        <v>-1</v>
      </c>
      <c r="G11" s="1">
        <v>2</v>
      </c>
      <c r="H11" s="1">
        <v>5</v>
      </c>
      <c r="I11" s="1">
        <v>2</v>
      </c>
      <c r="J11" s="1">
        <v>2</v>
      </c>
    </row>
    <row r="12" spans="1:10" ht="32" customHeight="1" x14ac:dyDescent="0.2">
      <c r="A12" s="1">
        <v>2</v>
      </c>
      <c r="B12" s="2" t="s">
        <v>15</v>
      </c>
      <c r="C12" s="1">
        <f t="shared" si="0"/>
        <v>2</v>
      </c>
      <c r="D12" s="1">
        <f>Analyse!F47</f>
        <v>3</v>
      </c>
      <c r="E12" s="1">
        <v>1</v>
      </c>
      <c r="F12" s="1">
        <v>2</v>
      </c>
      <c r="G12" s="1">
        <v>-2</v>
      </c>
      <c r="H12" s="1">
        <v>2</v>
      </c>
      <c r="I12" s="1">
        <v>1</v>
      </c>
      <c r="J12" s="1">
        <v>4</v>
      </c>
    </row>
    <row r="13" spans="1:10" ht="32" customHeight="1" x14ac:dyDescent="0.2">
      <c r="A13" s="1">
        <v>3</v>
      </c>
      <c r="B13" s="2" t="s">
        <v>16</v>
      </c>
      <c r="C13" s="1">
        <f t="shared" si="0"/>
        <v>3</v>
      </c>
      <c r="D13" s="1">
        <f>Analyse!F48</f>
        <v>3</v>
      </c>
      <c r="E13" s="1">
        <v>-2</v>
      </c>
      <c r="F13" s="1">
        <v>2</v>
      </c>
      <c r="G13" s="1">
        <v>2</v>
      </c>
      <c r="H13" s="1">
        <v>3</v>
      </c>
      <c r="I13" s="1">
        <v>1</v>
      </c>
      <c r="J13" s="1">
        <v>5</v>
      </c>
    </row>
    <row r="14" spans="1:10" ht="32" customHeight="1" x14ac:dyDescent="0.2">
      <c r="A14" s="1">
        <v>4</v>
      </c>
      <c r="B14" s="2" t="s">
        <v>17</v>
      </c>
      <c r="C14" s="1">
        <f t="shared" si="0"/>
        <v>4</v>
      </c>
      <c r="D14" s="1">
        <f>Analyse!F49</f>
        <v>3</v>
      </c>
      <c r="E14" s="1">
        <v>-1</v>
      </c>
      <c r="F14" s="1">
        <v>1</v>
      </c>
      <c r="G14" s="1">
        <v>2</v>
      </c>
      <c r="H14" s="1">
        <v>4</v>
      </c>
      <c r="I14" s="1">
        <v>2</v>
      </c>
      <c r="J14" s="1">
        <v>3</v>
      </c>
    </row>
    <row r="15" spans="1:10" ht="32" customHeight="1" x14ac:dyDescent="0.2">
      <c r="A15" s="1">
        <v>5</v>
      </c>
      <c r="B15" s="2" t="s">
        <v>18</v>
      </c>
      <c r="C15" s="1">
        <f t="shared" si="0"/>
        <v>2</v>
      </c>
      <c r="D15" s="1">
        <f>Analyse!F50</f>
        <v>3</v>
      </c>
      <c r="E15" s="1">
        <v>2</v>
      </c>
      <c r="F15" s="1">
        <v>-1</v>
      </c>
      <c r="G15" s="1">
        <v>2</v>
      </c>
      <c r="H15" s="1">
        <v>2</v>
      </c>
      <c r="I15" s="1">
        <v>5</v>
      </c>
      <c r="J15" s="1">
        <v>2</v>
      </c>
    </row>
    <row r="16" spans="1:10" ht="32" customHeight="1" x14ac:dyDescent="0.2">
      <c r="A16" s="1">
        <v>6</v>
      </c>
      <c r="B16" s="2" t="s">
        <v>19</v>
      </c>
      <c r="C16" s="1">
        <f t="shared" si="0"/>
        <v>3</v>
      </c>
      <c r="D16" s="1">
        <f>Analyse!F51</f>
        <v>3</v>
      </c>
      <c r="E16" s="1">
        <v>-2</v>
      </c>
      <c r="F16" s="1">
        <v>2</v>
      </c>
      <c r="G16" s="1">
        <v>0</v>
      </c>
      <c r="H16" s="1">
        <v>3</v>
      </c>
      <c r="I16" s="1">
        <v>1</v>
      </c>
      <c r="J16" s="1">
        <v>5</v>
      </c>
    </row>
    <row r="17" spans="1:10" ht="32" customHeight="1" x14ac:dyDescent="0.2">
      <c r="A17" s="1">
        <v>7</v>
      </c>
      <c r="B17" s="2" t="s">
        <v>20</v>
      </c>
      <c r="C17" s="1">
        <f t="shared" si="0"/>
        <v>3</v>
      </c>
      <c r="D17" s="1">
        <f>Analyse!F52</f>
        <v>3</v>
      </c>
      <c r="E17" s="1">
        <v>1</v>
      </c>
      <c r="F17" s="1">
        <v>1</v>
      </c>
      <c r="G17" s="1">
        <v>2</v>
      </c>
      <c r="H17" s="1">
        <v>3</v>
      </c>
      <c r="I17" s="1">
        <v>3</v>
      </c>
      <c r="J17" s="1">
        <v>4</v>
      </c>
    </row>
    <row r="18" spans="1:10" ht="32" customHeight="1" x14ac:dyDescent="0.2">
      <c r="A18" s="1">
        <v>8</v>
      </c>
      <c r="B18" s="2" t="s">
        <v>21</v>
      </c>
      <c r="C18" s="1">
        <f t="shared" si="0"/>
        <v>5</v>
      </c>
      <c r="D18" s="1">
        <f>Analyse!F53</f>
        <v>3</v>
      </c>
      <c r="E18" s="1">
        <v>1</v>
      </c>
      <c r="F18" s="1">
        <v>1</v>
      </c>
      <c r="G18" s="1">
        <v>2</v>
      </c>
      <c r="H18" s="1">
        <v>5</v>
      </c>
      <c r="I18" s="1">
        <v>2</v>
      </c>
      <c r="J18" s="1">
        <v>3</v>
      </c>
    </row>
    <row r="19" spans="1:10" ht="16" customHeight="1" x14ac:dyDescent="0.2">
      <c r="A19" s="1">
        <v>9</v>
      </c>
      <c r="B19" s="2" t="s">
        <v>22</v>
      </c>
      <c r="C19" s="1">
        <f t="shared" si="0"/>
        <v>2</v>
      </c>
      <c r="D19" s="1">
        <f>Analyse!F54</f>
        <v>3</v>
      </c>
      <c r="E19" s="1">
        <v>1</v>
      </c>
      <c r="F19" s="1">
        <v>2</v>
      </c>
      <c r="G19" s="1">
        <v>-1</v>
      </c>
      <c r="H19" s="1">
        <v>2</v>
      </c>
      <c r="I19" s="1">
        <v>2</v>
      </c>
      <c r="J19" s="1">
        <v>4</v>
      </c>
    </row>
    <row r="22" spans="1:10" x14ac:dyDescent="0.2">
      <c r="A22" s="1" t="s">
        <v>23</v>
      </c>
      <c r="D22" s="1" t="s">
        <v>24</v>
      </c>
    </row>
    <row r="23" spans="1:10" x14ac:dyDescent="0.2">
      <c r="A23" s="1" t="s">
        <v>25</v>
      </c>
      <c r="B23" s="1">
        <f>50+SUMPRODUCT(($C$11:$C$19-3),$E$11:$E$19)</f>
        <v>45</v>
      </c>
      <c r="D23" s="1" t="s">
        <v>26</v>
      </c>
      <c r="E23" s="1" t="str">
        <f>INDEX($A$23:$A$25,MATCH(MAX($B$23:$B$25),$B$23:$B$25,0))</f>
        <v>Portage Salarial</v>
      </c>
    </row>
    <row r="24" spans="1:10" x14ac:dyDescent="0.2">
      <c r="A24" s="1" t="s">
        <v>27</v>
      </c>
      <c r="B24" s="1">
        <f>50+SUMPRODUCT(($C$11:$C$19-3),$F$11:$F$19)</f>
        <v>48</v>
      </c>
      <c r="D24" s="1" t="s">
        <v>28</v>
      </c>
      <c r="E24" s="1" t="str">
        <f>INDEX($A$23:$A$25,MATCH(1,INDEX(($B$23:$B$25=LARGE($B$23:$B$25,2))*(COUNTIF($E$23:E23,$A$23:$A$25)=0),0),0))</f>
        <v>EURL/SASU</v>
      </c>
    </row>
    <row r="25" spans="1:10" x14ac:dyDescent="0.2">
      <c r="A25" s="1" t="s">
        <v>29</v>
      </c>
      <c r="B25" s="1">
        <f>50+SUMPRODUCT(($C$11:$C$19-3),$G$11:$G$19)</f>
        <v>61</v>
      </c>
      <c r="D25" s="1" t="s">
        <v>30</v>
      </c>
      <c r="E25" s="1" t="str">
        <f>INDEX($A$23:$A$25,MATCH(1,INDEX(($B$23:$B$25=LARGE($B$23:$B$25,3))*(COUNTIF($E$23:E24,$A$23:$A$25)=0),0),0))</f>
        <v>Micro-Entreprise</v>
      </c>
    </row>
    <row r="27" spans="1:10" x14ac:dyDescent="0.2">
      <c r="A27" s="1" t="s">
        <v>24</v>
      </c>
      <c r="B27" s="30" t="str">
        <f>+E24</f>
        <v>EURL/SASU</v>
      </c>
      <c r="C27" s="30" t="str">
        <f>+E23</f>
        <v>Portage Salarial</v>
      </c>
      <c r="D27" s="30" t="str">
        <f>E25</f>
        <v>Micro-Entreprise</v>
      </c>
    </row>
    <row r="28" spans="1:10" x14ac:dyDescent="0.2">
      <c r="B28" s="30"/>
      <c r="C28" s="30"/>
      <c r="D28" s="30"/>
    </row>
  </sheetData>
  <dataValidations count="2">
    <dataValidation type="list" errorTitle="Valeur invalide" error="Choisissez un profil dans la liste." sqref="B7" xr:uid="{00000000-0002-0000-0100-000000000000}">
      <formula1>"Personnalisé,Sécurité/Chômage,Simplicité/Rapidité,Croissance/CA élevé"</formula1>
    </dataValidation>
    <dataValidation type="whole" errorTitle="Valeur invalide" error="Entrez une note entre 1 et 5." sqref="D11:D19" xr:uid="{00000000-0002-0000-0100-000001000000}">
      <formula1>1</formula1>
      <formula2>5</formula2>
    </dataValidation>
  </dataValidations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Analyse</vt:lpstr>
      <vt:lpstr>Analyse non financière</vt:lpstr>
      <vt:lpstr>Analyse!Zone_d_impression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Olivier Le Coquil</cp:lastModifiedBy>
  <cp:lastPrinted>2026-03-11T16:03:33Z</cp:lastPrinted>
  <dcterms:created xsi:type="dcterms:W3CDTF">2026-03-11T11:34:55Z</dcterms:created>
  <dcterms:modified xsi:type="dcterms:W3CDTF">2026-03-16T17:44:36Z</dcterms:modified>
</cp:coreProperties>
</file>